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LICITAÇÕES\CISAMUSEP MARINGA\"/>
    </mc:Choice>
  </mc:AlternateContent>
  <xr:revisionPtr revIDLastSave="0" documentId="13_ncr:1_{389659E7-E4FC-4531-BE90-6A1B16721AF6}" xr6:coauthVersionLast="47" xr6:coauthVersionMax="47" xr10:uidLastSave="{00000000-0000-0000-0000-000000000000}"/>
  <bookViews>
    <workbookView xWindow="-120" yWindow="-120" windowWidth="20730" windowHeight="11160" tabRatio="882" firstSheet="1" activeTab="5" xr2:uid="{00000000-000D-0000-FFFF-FFFF00000000}"/>
  </bookViews>
  <sheets>
    <sheet name="despesas administrativas" sheetId="39" r:id="rId1"/>
    <sheet name="Vigilante diurno 5x2" sheetId="4" r:id="rId2"/>
    <sheet name="Vigilante diurno 12x36" sheetId="7" r:id="rId3"/>
    <sheet name="Vigilante noturno 12x36" sheetId="16" r:id="rId4"/>
    <sheet name="Materiais e equipamentos" sheetId="35" r:id="rId5"/>
    <sheet name="Valor final da proposta" sheetId="3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7" l="1"/>
  <c r="L22" i="16"/>
  <c r="L23" i="16"/>
  <c r="L24" i="16"/>
  <c r="L25" i="16"/>
  <c r="L26" i="16"/>
  <c r="L27" i="16"/>
  <c r="L28" i="16"/>
  <c r="L21" i="16" l="1"/>
  <c r="L21" i="7"/>
  <c r="L22" i="7"/>
  <c r="L23" i="7"/>
  <c r="L24" i="7"/>
  <c r="L25" i="7"/>
  <c r="L26" i="7"/>
  <c r="L20" i="7"/>
  <c r="E9" i="38"/>
  <c r="C15" i="39"/>
  <c r="C19" i="39" s="1"/>
  <c r="L10" i="7"/>
  <c r="K51" i="16"/>
  <c r="K50" i="7"/>
  <c r="L16" i="7"/>
  <c r="L15" i="7"/>
  <c r="L17" i="16"/>
  <c r="L16" i="16"/>
  <c r="L10" i="16"/>
  <c r="K10" i="7"/>
  <c r="K10" i="16"/>
  <c r="F31" i="4"/>
  <c r="L31" i="4" s="1"/>
  <c r="L30" i="4"/>
  <c r="K47" i="16"/>
  <c r="K46" i="7"/>
  <c r="K45" i="4"/>
  <c r="K74" i="7" l="1"/>
  <c r="K75" i="16" s="1"/>
  <c r="F28" i="35" s="1"/>
  <c r="K73" i="7"/>
  <c r="K74" i="16" s="1"/>
  <c r="F27" i="35" s="1"/>
  <c r="K49" i="4"/>
  <c r="L34" i="16" l="1"/>
  <c r="E13" i="35" l="1"/>
  <c r="G13" i="35" s="1"/>
  <c r="E12" i="35"/>
  <c r="G12" i="35" s="1"/>
  <c r="L65" i="4"/>
  <c r="F30" i="35"/>
  <c r="E25" i="35"/>
  <c r="G25" i="35" s="1"/>
  <c r="E24" i="35"/>
  <c r="G24" i="35" s="1"/>
  <c r="E23" i="35"/>
  <c r="G23" i="35" s="1"/>
  <c r="E22" i="35"/>
  <c r="G22" i="35" s="1"/>
  <c r="E21" i="35"/>
  <c r="G21" i="35" s="1"/>
  <c r="E20" i="35"/>
  <c r="G20" i="35" s="1"/>
  <c r="E19" i="35"/>
  <c r="G19" i="35" s="1"/>
  <c r="E18" i="35"/>
  <c r="G18" i="35" s="1"/>
  <c r="E17" i="35"/>
  <c r="G17" i="35" s="1"/>
  <c r="E16" i="35"/>
  <c r="G16" i="35" s="1"/>
  <c r="E15" i="35"/>
  <c r="G15" i="35" s="1"/>
  <c r="E14" i="35"/>
  <c r="G14" i="35" s="1"/>
  <c r="E11" i="35"/>
  <c r="G11" i="35" s="1"/>
  <c r="E10" i="35"/>
  <c r="G10" i="35" s="1"/>
  <c r="E9" i="35"/>
  <c r="G9" i="35" s="1"/>
  <c r="E8" i="35"/>
  <c r="G8" i="35" s="1"/>
  <c r="E7" i="35"/>
  <c r="G7" i="35" s="1"/>
  <c r="E6" i="35"/>
  <c r="G6" i="35" s="1"/>
  <c r="E5" i="35"/>
  <c r="G5" i="35" s="1"/>
  <c r="E4" i="35"/>
  <c r="G4" i="35" s="1"/>
  <c r="E3" i="35"/>
  <c r="G3" i="35" s="1"/>
  <c r="G26" i="35" l="1"/>
  <c r="G27" i="35" s="1"/>
  <c r="C83" i="4"/>
  <c r="C48" i="16"/>
  <c r="C49" i="16"/>
  <c r="C50" i="16"/>
  <c r="C51" i="16"/>
  <c r="C47" i="16"/>
  <c r="C47" i="7"/>
  <c r="C48" i="7"/>
  <c r="C49" i="7"/>
  <c r="C46" i="7"/>
  <c r="L33" i="7"/>
  <c r="L9" i="4"/>
  <c r="L8" i="16"/>
  <c r="L31" i="7"/>
  <c r="G28" i="35" l="1"/>
  <c r="G29" i="35" s="1"/>
  <c r="G30" i="35" s="1"/>
  <c r="G31" i="35" s="1"/>
  <c r="E7" i="38" s="1"/>
  <c r="L32" i="16"/>
  <c r="L32" i="7"/>
  <c r="L9" i="7"/>
  <c r="L61" i="4"/>
  <c r="L66" i="4"/>
  <c r="L64" i="4"/>
  <c r="L63" i="4"/>
  <c r="L62" i="4"/>
  <c r="L107" i="16" l="1"/>
  <c r="L101" i="16"/>
  <c r="C90" i="16"/>
  <c r="C88" i="16"/>
  <c r="C87" i="16"/>
  <c r="C86" i="16"/>
  <c r="C85" i="16"/>
  <c r="C84" i="16"/>
  <c r="K80" i="16"/>
  <c r="L69" i="16"/>
  <c r="L68" i="16"/>
  <c r="L67" i="16"/>
  <c r="L66" i="16"/>
  <c r="L65" i="16"/>
  <c r="L64" i="16"/>
  <c r="L63" i="16"/>
  <c r="K49" i="16"/>
  <c r="K48" i="16"/>
  <c r="L33" i="16"/>
  <c r="L36" i="16" s="1"/>
  <c r="L42" i="16" s="1"/>
  <c r="K29" i="16"/>
  <c r="K17" i="16"/>
  <c r="L9" i="16"/>
  <c r="L11" i="7"/>
  <c r="L106" i="7"/>
  <c r="L100" i="7"/>
  <c r="C89" i="7"/>
  <c r="C87" i="7"/>
  <c r="C86" i="7"/>
  <c r="C85" i="7"/>
  <c r="C84" i="7"/>
  <c r="C83" i="7"/>
  <c r="K79" i="7"/>
  <c r="L68" i="7"/>
  <c r="L67" i="7"/>
  <c r="L66" i="7"/>
  <c r="L65" i="7"/>
  <c r="L64" i="7"/>
  <c r="L63" i="7"/>
  <c r="L62" i="7"/>
  <c r="K48" i="7"/>
  <c r="K28" i="7"/>
  <c r="K16" i="7"/>
  <c r="L62" i="16" l="1"/>
  <c r="L70" i="16" s="1"/>
  <c r="L88" i="16" s="1"/>
  <c r="L46" i="7"/>
  <c r="K49" i="7"/>
  <c r="L11" i="16"/>
  <c r="L12" i="16" s="1"/>
  <c r="K18" i="16"/>
  <c r="K50" i="16"/>
  <c r="L50" i="7"/>
  <c r="L48" i="7"/>
  <c r="L35" i="7"/>
  <c r="L41" i="7" s="1"/>
  <c r="K17" i="7"/>
  <c r="L61" i="7"/>
  <c r="L69" i="7" s="1"/>
  <c r="L87" i="7" s="1"/>
  <c r="L83" i="7"/>
  <c r="K47" i="7"/>
  <c r="L47" i="7" s="1"/>
  <c r="L17" i="7" l="1"/>
  <c r="L39" i="7" s="1"/>
  <c r="L49" i="7"/>
  <c r="L51" i="7" s="1"/>
  <c r="L85" i="7" s="1"/>
  <c r="L47" i="16"/>
  <c r="L48" i="16"/>
  <c r="L84" i="16"/>
  <c r="L51" i="16"/>
  <c r="L49" i="16"/>
  <c r="K52" i="16"/>
  <c r="K51" i="7"/>
  <c r="L18" i="16" l="1"/>
  <c r="L40" i="16" s="1"/>
  <c r="L50" i="16"/>
  <c r="L52" i="16" s="1"/>
  <c r="L86" i="16" s="1"/>
  <c r="L28" i="7" l="1"/>
  <c r="L40" i="7" s="1"/>
  <c r="L42" i="7" s="1"/>
  <c r="L56" i="7" l="1"/>
  <c r="K56" i="7" s="1"/>
  <c r="L29" i="16"/>
  <c r="L55" i="7"/>
  <c r="L84" i="7"/>
  <c r="L57" i="7" l="1"/>
  <c r="L86" i="7" s="1"/>
  <c r="L88" i="7" s="1"/>
  <c r="L73" i="7" s="1"/>
  <c r="L41" i="16"/>
  <c r="L43" i="16" s="1"/>
  <c r="K55" i="7"/>
  <c r="L74" i="7" l="1"/>
  <c r="L78" i="7" s="1"/>
  <c r="L56" i="16"/>
  <c r="K56" i="16" s="1"/>
  <c r="L57" i="16"/>
  <c r="K57" i="16" s="1"/>
  <c r="L85" i="16"/>
  <c r="L76" i="7" l="1"/>
  <c r="L105" i="7" s="1"/>
  <c r="L108" i="7" s="1"/>
  <c r="L77" i="7"/>
  <c r="L58" i="16"/>
  <c r="L87" i="16" s="1"/>
  <c r="L89" i="16" s="1"/>
  <c r="L74" i="16" s="1"/>
  <c r="L75" i="16" s="1"/>
  <c r="L79" i="7" l="1"/>
  <c r="L107" i="7" s="1"/>
  <c r="L77" i="16"/>
  <c r="L106" i="16" s="1"/>
  <c r="L109" i="16" s="1"/>
  <c r="L79" i="16" l="1"/>
  <c r="L78" i="16"/>
  <c r="L89" i="7"/>
  <c r="L90" i="7" s="1"/>
  <c r="D5" i="38" s="1"/>
  <c r="E5" i="38" s="1"/>
  <c r="L10" i="4"/>
  <c r="L80" i="16" l="1"/>
  <c r="L90" i="16" s="1"/>
  <c r="L91" i="16" s="1"/>
  <c r="L49" i="4"/>
  <c r="L81" i="4"/>
  <c r="L14" i="4"/>
  <c r="D112" i="7"/>
  <c r="L108" i="16" l="1"/>
  <c r="D6" i="38"/>
  <c r="E6" i="38" s="1"/>
  <c r="D113" i="16"/>
  <c r="L60" i="4"/>
  <c r="L67" i="4" l="1"/>
  <c r="L85" i="4" s="1"/>
  <c r="K47" i="4"/>
  <c r="L47" i="4" s="1"/>
  <c r="K15" i="4"/>
  <c r="L15" i="4" s="1"/>
  <c r="L16" i="4" s="1"/>
  <c r="K46" i="4" l="1"/>
  <c r="L46" i="4" s="1"/>
  <c r="L45" i="4"/>
  <c r="L38" i="4"/>
  <c r="L24" i="4"/>
  <c r="L26" i="4"/>
  <c r="L19" i="4"/>
  <c r="L22" i="4"/>
  <c r="L23" i="4"/>
  <c r="L25" i="4"/>
  <c r="L20" i="4"/>
  <c r="L34" i="4" l="1"/>
  <c r="L40" i="4" s="1"/>
  <c r="K27" i="4" l="1"/>
  <c r="C87" i="4"/>
  <c r="C85" i="4"/>
  <c r="C84" i="4"/>
  <c r="K16" i="4"/>
  <c r="K77" i="4"/>
  <c r="C81" i="4"/>
  <c r="C82" i="4"/>
  <c r="L98" i="4"/>
  <c r="L104" i="4"/>
  <c r="K48" i="4" l="1"/>
  <c r="L48" i="4"/>
  <c r="K50" i="4"/>
  <c r="L50" i="4" l="1"/>
  <c r="L83" i="4" s="1"/>
  <c r="L21" i="4"/>
  <c r="L27" i="4" s="1"/>
  <c r="L39" i="4" s="1"/>
  <c r="L41" i="4" s="1"/>
  <c r="L54" i="4" s="1"/>
  <c r="L82" i="4" l="1"/>
  <c r="L55" i="4"/>
  <c r="K55" i="4" s="1"/>
  <c r="K54" i="4" l="1"/>
  <c r="K56" i="4" s="1"/>
  <c r="L56" i="4"/>
  <c r="L84" i="4" s="1"/>
  <c r="L86" i="4" s="1"/>
  <c r="L71" i="4" s="1"/>
  <c r="L72" i="4" l="1"/>
  <c r="L76" i="4" s="1"/>
  <c r="L75" i="4" l="1"/>
  <c r="L74" i="4"/>
  <c r="L103" i="4" s="1"/>
  <c r="L106" i="4" s="1"/>
  <c r="L77" i="4" l="1"/>
  <c r="L87" i="4" s="1"/>
  <c r="L88" i="4" s="1"/>
  <c r="D4" i="38" s="1"/>
  <c r="E4" i="38" s="1"/>
  <c r="E8" i="38" s="1"/>
  <c r="L105" i="4" l="1"/>
  <c r="D110" i="4"/>
</calcChain>
</file>

<file path=xl/sharedStrings.xml><?xml version="1.0" encoding="utf-8"?>
<sst xmlns="http://schemas.openxmlformats.org/spreadsheetml/2006/main" count="629" uniqueCount="191">
  <si>
    <t>-</t>
  </si>
  <si>
    <t>VALOR (R$)</t>
  </si>
  <si>
    <t>%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</si>
  <si>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</si>
  <si>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</si>
  <si>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</si>
  <si>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</si>
  <si>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</si>
  <si>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</si>
  <si>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</si>
  <si>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</si>
  <si>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</si>
  <si>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COMPOSIÇÃO DA REMUNERAÇÃO</t>
  </si>
  <si>
    <t>INSUMOS DIVERSOS</t>
  </si>
  <si>
    <t>Nota(1):</t>
  </si>
  <si>
    <t>TOTAL</t>
  </si>
  <si>
    <t>CUSTOS INDIRETOS, TRIBUTOS E LUCRO</t>
  </si>
  <si>
    <t>Custos Indiretos</t>
  </si>
  <si>
    <t>Mão-de-Obra vinculada à execução contratual (valor por empregado)</t>
  </si>
  <si>
    <t>MÓDULO 1 - COMPOSIÇÃO DA REMUNERAÇÃO</t>
  </si>
  <si>
    <t>Quadro Resumo - VALOR MENSAL DOS SERVIÇOS</t>
  </si>
  <si>
    <t>Qde Postos (E)</t>
  </si>
  <si>
    <t>Tipo de Serviço (A)</t>
  </si>
  <si>
    <t>Valor Por Empregado(B)</t>
  </si>
  <si>
    <t>Valor Proposto por Posto (D) = (B x C)</t>
  </si>
  <si>
    <t>Qde de Empregados por posto ( C )</t>
  </si>
  <si>
    <t>Serviço 1 (indicar)</t>
  </si>
  <si>
    <t>Serviço 2 (indicar)</t>
  </si>
  <si>
    <t>Serviço 3 (indicar)</t>
  </si>
  <si>
    <t>Serviço ... (indicar)</t>
  </si>
  <si>
    <t>R$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</si>
  <si>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</si>
  <si>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</si>
  <si>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</si>
  <si>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</si>
  <si>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</si>
  <si>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</si>
  <si>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</si>
  <si>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</si>
  <si>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</si>
  <si>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PIS</t>
  </si>
  <si>
    <t>COFINS</t>
  </si>
  <si>
    <t>TRIBUTOS</t>
  </si>
  <si>
    <t>C.1</t>
  </si>
  <si>
    <t>C.2</t>
  </si>
  <si>
    <t>C.3</t>
  </si>
  <si>
    <t>MÓDULO 2 – ENCARGOS E BENEFÍCIOS ANUAIS, MENSAIS E DIÁRIOS</t>
  </si>
  <si>
    <t>SESC ou SESI</t>
  </si>
  <si>
    <t xml:space="preserve">SENAI - SENAC </t>
  </si>
  <si>
    <t xml:space="preserve">SEBRAE </t>
  </si>
  <si>
    <t xml:space="preserve">INCRA </t>
  </si>
  <si>
    <t xml:space="preserve">FGTS </t>
  </si>
  <si>
    <t>TOTAL SUBMÓDULO 2.2</t>
  </si>
  <si>
    <t>Submódulo 2.3 - Benefícios Mensais e Diários</t>
  </si>
  <si>
    <t>TOTAL SUBMÓDULO 2.3</t>
  </si>
  <si>
    <t>QUADRO-RESUMO DO MÓDULO 2 - ENCARGOS, BENEFÍCIOS ANUAIS, MENSAIS E DIÁRIOS</t>
  </si>
  <si>
    <t>2.1</t>
  </si>
  <si>
    <t>2.2</t>
  </si>
  <si>
    <t>2.3</t>
  </si>
  <si>
    <t>Benefícios Mensais e Diários</t>
  </si>
  <si>
    <t>TOTAL DO MÓDULO 1</t>
  </si>
  <si>
    <t>TOTAL DO MÓDULO 2</t>
  </si>
  <si>
    <t>MÓDULO 3 – PROVISÃO PARA RESCISÃO</t>
  </si>
  <si>
    <t>PROVISÃO PARA RESCISÃO</t>
  </si>
  <si>
    <t>TOTAL DO MÓDULO 3</t>
  </si>
  <si>
    <t>MÓDULO 4 – CUSTO DE REPOSIÇÃO DO PROFISSIONAL AUSENTE</t>
  </si>
  <si>
    <t>TOTAL DO MÓDULO 4</t>
  </si>
  <si>
    <t>MÓDULO 5 – INSUMOS DIVERSOS</t>
  </si>
  <si>
    <t>TOTAL DO MÓDULO 5</t>
  </si>
  <si>
    <t>MÓDULO 6 – CUSTOS INDIRETOS, TRIBUTOS E LUCRO</t>
  </si>
  <si>
    <t>TOTAL DO MÓDULO 6</t>
  </si>
  <si>
    <t>QUADRO RESUMO DO CUSTO POR EMPREGADO</t>
  </si>
  <si>
    <t>Subtotal (A + B + C + D + E)</t>
  </si>
  <si>
    <t>FATOR K</t>
  </si>
  <si>
    <t>PREÇO TOTAL POR EMPREGADO</t>
  </si>
  <si>
    <t/>
  </si>
  <si>
    <t>Contribuição previdenciária</t>
  </si>
  <si>
    <t>Dias</t>
  </si>
  <si>
    <t>Quantidade por dia</t>
  </si>
  <si>
    <t>Custo unitário</t>
  </si>
  <si>
    <t>Valor mensal</t>
  </si>
  <si>
    <t>% de desconto</t>
  </si>
  <si>
    <t>Submódulo 2.1 - 13º Salário e Adicional de Férias</t>
  </si>
  <si>
    <t>Provisão para reposição do posto durante as férias do titular</t>
  </si>
  <si>
    <t>Submódulo 4.1 - Cobertura de Férias e Ausências Legais</t>
  </si>
  <si>
    <t>Quantidade anual</t>
  </si>
  <si>
    <t>Valor unitário</t>
  </si>
  <si>
    <t>ITEM</t>
  </si>
  <si>
    <t>QUANTIDADE</t>
  </si>
  <si>
    <t>CUSTOS INDIRETOS</t>
  </si>
  <si>
    <t>LUCRO</t>
  </si>
  <si>
    <t>CUSTO MENSAL</t>
  </si>
  <si>
    <t>CUSTO UNITÁRIO R$</t>
  </si>
  <si>
    <t>CUSTO TOTAL R$</t>
  </si>
  <si>
    <t xml:space="preserve">CUSTO TOTAL MENSAL = TOTAL MENSAL DE EQUIPAMENTOS + CUSTOS INDIRETOS + LUCRO +TRIBUTOS = </t>
  </si>
  <si>
    <t xml:space="preserve">TOTAL DE EQUIPAMENTOS + CUSTOS INDIRETOS + LUCRO = </t>
  </si>
  <si>
    <t>FREQUÊNCIA DE FORNECIMENTO</t>
  </si>
  <si>
    <t>TOTAL  MENSAL DE EQUIPAMENTOS (EXCLUSIVAMENTE PARA FINS DE JULGAMENTO DA LICITAÇÃO) =</t>
  </si>
  <si>
    <t>Função</t>
  </si>
  <si>
    <t>N° de Funcionários</t>
  </si>
  <si>
    <t>CUSTO MENSAL EXCLUSIVAMENTE PARA FINS DE JULGAMENTO DA LICITAÇÃO</t>
  </si>
  <si>
    <t>Submódulo 2.2 - Encargos previdenciários e FGTS</t>
  </si>
  <si>
    <t>Encargos previdenciários e FGTS</t>
  </si>
  <si>
    <t xml:space="preserve">RAT ajustado </t>
  </si>
  <si>
    <t xml:space="preserve">ISS </t>
  </si>
  <si>
    <t>Vigilante diurno 5x2</t>
  </si>
  <si>
    <t>Percentual do adicional (30%)</t>
  </si>
  <si>
    <t>Divisor</t>
  </si>
  <si>
    <t>H. noturnas diárias</t>
  </si>
  <si>
    <t>Dias trab. por mês</t>
  </si>
  <si>
    <t>Percentual do adicional (20%)</t>
  </si>
  <si>
    <t>Seguro de vida e invalidez</t>
  </si>
  <si>
    <t>Cinto tático militar, confeccionado em fita de nylon, com fivela de metal</t>
  </si>
  <si>
    <t>Vigilante diurno 12x36</t>
  </si>
  <si>
    <t>Vigilante noturno 12x36</t>
  </si>
  <si>
    <t>Total uniformes</t>
  </si>
  <si>
    <t xml:space="preserve">Adicional de periculosidade </t>
  </si>
  <si>
    <t xml:space="preserve">Salário base </t>
  </si>
  <si>
    <t xml:space="preserve">13º salário </t>
  </si>
  <si>
    <t>Adicional de 1/3 de férias</t>
  </si>
  <si>
    <t xml:space="preserve">Salário educação </t>
  </si>
  <si>
    <t xml:space="preserve">Vale-transporte </t>
  </si>
  <si>
    <t>Auxílio refeição</t>
  </si>
  <si>
    <t>Convênio saúde</t>
  </si>
  <si>
    <t>Incidência do FGTS sobre aviso prévio indenizado</t>
  </si>
  <si>
    <t xml:space="preserve">Aviso prévio trabalhado </t>
  </si>
  <si>
    <t>Incidência dos encargos do submódulo 2.2 sobre aviso prévio trabalhado</t>
  </si>
  <si>
    <t>Submódulo 2.3 - Benefícios mensais e diários</t>
  </si>
  <si>
    <t>13º Salário e adicional de férias</t>
  </si>
  <si>
    <t>Benefícios mensais e diários</t>
  </si>
  <si>
    <t>Custo diário de reposição de profissional ausente por ausências legais, licença paternidade, acidente de trabalho, licença maternidade etc.</t>
  </si>
  <si>
    <t>Custos indiretos</t>
  </si>
  <si>
    <t>Lanterna tática em LED, com bateria recarregável, com no mínimo 1.000 lumens</t>
  </si>
  <si>
    <t xml:space="preserve">CENTRAL DE ALARME MONITORADO COM GPRS/IP
Configuração mínima: para comunicação com chip de dados telemetria fornecido pela contratada, a placa deverá conter no mínimo 16 zonas e 08 partições; até 900 usuários; buffer de 2048 eventos; até 08 teclados; 02 saídas programáveis; 02 sirenes particionadas; saída de sirene de 2,5A; saída auxiliar de 1,2A; atualização de software via GPRS, linha ou cabo; permite ativação/desativação remotamente. Homologado pela Anatel. </t>
  </si>
  <si>
    <t xml:space="preserve">EXPANSOR DE 16 ZONAS PARA CENTRAL DE ALARME
Configuração mínima: com 16 zonas com fio programáveis; permite programação de zona antissequestro, anti-invasão e identificando o local exato que foi violado, sendo 06 placas de expansão ligadas na central de alarme, com carregador programável (PGMs); saída comunicador independente do painel de alarme; conector para bateria; homologado pela Anatel; compatível com a central de alarme. </t>
  </si>
  <si>
    <t>TECLADO LCD PARA CENTRAL MONITORADA
Configuração mínima: permite que o alarme opere autônomo; display; 01 zona independente; visualização de 128 zonas; senhas especiais; partições programáveis; 1 saída programável; comunicação por barramento; visualização de data e hora; permitir a programação da central de alarme; visualização de mensagem de texto; função pânico, emergência e incêndio; proteção contra violação; tampa para proteção contra acionamento acidental das teclas; compatível com a central de alarme.</t>
  </si>
  <si>
    <t>BATERIA SELADA PARA ALARME
Configuração mínima: bateria selada produzida com liga chumbo-cálcio, separador AGM (Absorptive Glass-mat), tensão 12 Volts, corrente inicial máxima 2,1 A, capacidade 7 Ah. Dimensões aproximadas (C x A x L) 151 x 100 x 65 mm. Peso aproximado de 2,7 kg</t>
  </si>
  <si>
    <t>FONTE CARREGADORA DE BATERIA 2A
Configuração mínima: carregador de bateria microprocessado; controle total de tensão, potência e corrente; indicação de status por Led; proteção contra super aquecimento; entrada 90 Vac ~ 240 Vac; tensão de saída 13,8 Vcc; proteção contra sobrecarga; baixa emissão de ruídos; relé com saídas positivas NA e NF; saída NF para fechos magnéticos; saída NA para fechaduras eletromagnéticas; temporização de saídas de 1, 5, 10, 30 minutos; tempo em segundos ou minutos; configuração de tempos por jumpers; acionamento de relé por pulso negativo na entrada CH; saídas +/- para alimentação de teclados, receptoras e discadores; saída positiva indicando falta de AC; buzzer sinalizador de falta de AC com jumper para habilitar/desabilitar</t>
  </si>
  <si>
    <t>SIRENE
Configuração mínima: sirene de alta potência, com estrutura resistente em material ABS, na cor branca. Tensão 12 Volts, potência 120 Db a 1 metro.  02 tons.</t>
  </si>
  <si>
    <t>TRAFO PARA CENTRAL DE ALARME
Configuração mínima: fonte transformadora pra central de alarme; entrada bivolt 110v ou 220v; saída AC 16v; 1,5 Ah amperes; entrada 3 fios; saída 2 fios</t>
  </si>
  <si>
    <t>PROTETOR DE REDE ELÉTRICA
Configuração mínima: 3 estágios de proteção; centelhador a gás; fusíveis rearmáveis (proteção contra surtos de corrente); atende a normas internacionais de proteção; filtros capacitivos; tensão: 90 - 240Vca; recomendado para centrais de alarme, fontes de alimentação e monitores de vigilância.</t>
  </si>
  <si>
    <t>CAIXA UNIVERSAL PARA CENTRAL DE ALARME
Configuração mínima: caixa para central de alarme modelo universal; contém 2 trilhos internos para o ajuste de acordo com a placa a ser utilizada; desenvolvida em chapa de aço carbono; acabamento em pintura eletrostática a pó;  acompanha espaçadores para fixação da placa e parafusos para fixação do Trafo; altura: 80 mm; largura: 240 mm; comprimento: 260 mm; cor branca</t>
  </si>
  <si>
    <t>RECEPTORA 
Configuração mínima: com 02 controles remotos; usada para pânico silencioso; acionamento por controle remoto; RF digital de alta performance; capacidade de memorização de 680 códigos; possibilidade de 04 configurações do relé (pulso de 0,5 segundos, pulso de 3 segundos, pulso de 5 minutos, retenção); codificação pelo sistema code learning; memória permanente (não volátil).</t>
  </si>
  <si>
    <t xml:space="preserve">TRIBUTOS (PIS+COFINS+ISS) = </t>
  </si>
  <si>
    <t>Materiais e equipamentos</t>
  </si>
  <si>
    <t>Materiais e equipamentos (preencher os campos marcados em verde)</t>
  </si>
  <si>
    <t>PLANILHA DE COMPOSIÇÃO DE CUSTO E FORMAÇÃO DE PREÇO (Preencher os campos marcados em verde)</t>
  </si>
  <si>
    <t xml:space="preserve">Cargo </t>
  </si>
  <si>
    <t>Quadro resumo da proposta</t>
  </si>
  <si>
    <t>Custo unitário mensal</t>
  </si>
  <si>
    <t>Custo total mensal</t>
  </si>
  <si>
    <t xml:space="preserve">CBO </t>
  </si>
  <si>
    <t>Data base da categoria</t>
  </si>
  <si>
    <t>Posto de vigilância desarmada 5x2 diurno</t>
  </si>
  <si>
    <t>Posto de vigilância armada 12x36 diurno</t>
  </si>
  <si>
    <t>Posto de vigilância armada 12x36 noturno</t>
  </si>
  <si>
    <t>Calça modelo cargo tática, fabricada em tecido Rip Stop Profissional, com 02 bolsos faca frontais, 02 bolsos laterais com lapela e fechamento com velcro e 02 bolsos traseiros chapados com lapela e fechamento com velcro, fechamento do cós com botão e zíper</t>
  </si>
  <si>
    <t>Camisetas mangas curtas em tecido transpirável 100% algodão, com o logotipo e nome da empresa</t>
  </si>
  <si>
    <t>Jaqueta ou casaco apropriado para os dias frios, com fechamento em zíper, combinando com o restante do uniforme, com o logotipo e nome da empresa</t>
  </si>
  <si>
    <t>Crachá de identificação em material PVC, com logotipo da empresa, cantos arredondados, com cordão em material poliéster, com presilha de metal garra tipo jacaré para fixação do cordão no crachá</t>
  </si>
  <si>
    <t>Coturno modelo militar, em couro na cor preta, fechamento em cadarço e zíper na lateral, aba com velcro para proteção do zíper; solado emborrachado e antiderrapante, palmilha em EVA antibacteriana, altura média do cano de 25 cm</t>
  </si>
  <si>
    <t xml:space="preserve">Capa para colete balístico confeccionado em material impermeabilizante, na cor preta, com compartimento para envolver dois painéis balísticos, frontal e dorsal. Deve possuir fechamento em velcro e regulagem nas laterais e nos ombros. Compatível com a placa balística </t>
  </si>
  <si>
    <t>Livro ata de 100 folhas numeradas de 1 a 100, com abertura do livro contendo as informações da empresa</t>
  </si>
  <si>
    <t>Cassetete tipo tonfa, confeccionado em PVC injetado de forma maciça, corpo único e de alta absorção de impacto e resistência. Com cabo bastão e cabo lateral em formato anatômico. Cor preta, tamanho 60 cm</t>
  </si>
  <si>
    <t>Cinto tático de guarnição completo, com coldre, porta tonfa, baleiro e porta lanterna. Com regulagem com velcro, confeccionado em tecido Rip Stop de alta resistência na cor preta</t>
  </si>
  <si>
    <t>Porta tonfa fabricado em tecido Rip Stop, prendedor de cinto em aço tipo presilha, compatível com o cassetete tipo tonfa descrito</t>
  </si>
  <si>
    <t>Capa de chuva em PVC, forrada, com touca, na cor preta, de comprimento longo o que ajuda na proteção do tronco e pernas</t>
  </si>
  <si>
    <t xml:space="preserve">Revólver calibre 38, 6 tiros, com cabo em borracha, novo, devendo apresentar NF/comprovante de compra </t>
  </si>
  <si>
    <t>Munição calibre 38, dentro do prazo de validade</t>
  </si>
  <si>
    <t>Conjunto de placa balística frontal e dorsal formadas por lâminas de tecido balístico, podendo ser confeccionadas em aramida ou misto de aramida composto com polietileno. Compatível com a capa de colete balístico descrito no item 7 deste Termo de Referência. Proteção nível II A, dentro do prazo de validade. As placas deverão apresentar etiqueta na qual conste o nome do fabricante, modelo da placa, nº de série, lote, data de fabricação, data da validade e nível de proteção</t>
  </si>
  <si>
    <t>Rádio comunicador profissional, com faixas de frequência VHF, 16 canais, bivolt, com base para recarga e clipe de cintura, alcance de até 5 km</t>
  </si>
  <si>
    <t>Fone de ouvido de encaixe tipo “D”, com microfone direcionado integrado ao PTT (push-to-talk), clip para fixação, compatível com o rádio comunicador</t>
  </si>
  <si>
    <r>
      <t>Computador</t>
    </r>
    <r>
      <rPr>
        <sz val="11"/>
        <rFont val="Arial"/>
        <family val="2"/>
      </rPr>
      <t xml:space="preserve">, incluindo CPU, mouse, teclado e filtro de linha para acesso dos vigilantes às imagens das câmeras. </t>
    </r>
  </si>
  <si>
    <t>Televisor 32 polegadas, com design slim, para conectar ao computador, com controle remoto com pilhas e cabo de energia.</t>
  </si>
  <si>
    <t>CUSTO PARA 12 MESES EXCLUSIVAMENTE PARA FINS DE JULGAMENTO DA LICITAÇÃO</t>
  </si>
  <si>
    <t>Multa do FGTS sobre a demissão sem justa causa (80% de ocorrência, considerando as outras modalidades de dispensa)</t>
  </si>
  <si>
    <t>Aviso prévio indenizado (Estimativa de que 5% (cinco por cento) dos empregados serão substituídos durante um ano)</t>
  </si>
  <si>
    <t>Adicional noturno (considerar hora de 60 minutos cfme CCT)</t>
  </si>
  <si>
    <t>Intervalo intrajornada (CONSIDERAR COMO VERBA INDENIZATÓRIA SEM INCIDÊNCIAS TRABALHISTAS) 30 MINUTOS</t>
  </si>
  <si>
    <t>DESPESAS ADMINISTRATIVAS</t>
  </si>
  <si>
    <t>energia</t>
  </si>
  <si>
    <t>agua</t>
  </si>
  <si>
    <t>material de escritório</t>
  </si>
  <si>
    <t>telefone</t>
  </si>
  <si>
    <t>segurança e medicina do trabalho</t>
  </si>
  <si>
    <t>funcionário ativos</t>
  </si>
  <si>
    <t>custo por funcionário</t>
  </si>
  <si>
    <t>monitoramento</t>
  </si>
  <si>
    <t>material de limpeza</t>
  </si>
  <si>
    <t>vida util de 60 meses</t>
  </si>
  <si>
    <t>vida util de pelo menos dois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</si>
</sst>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0.0%"/>
    <numFmt numFmtId="167" formatCode="0.0000%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1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165" fontId="4" fillId="0" borderId="0" applyFill="0" applyBorder="0" applyAlignment="0" applyProtection="0"/>
    <xf numFmtId="9" fontId="4" fillId="0" borderId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5" fillId="0" borderId="0" xfId="0" applyFont="1" applyAlignment="1">
      <alignment horizontal="center"/>
    </xf>
    <xf numFmtId="2" fontId="5" fillId="0" borderId="0" xfId="0" applyNumberFormat="1" applyFont="1"/>
    <xf numFmtId="10" fontId="5" fillId="0" borderId="1" xfId="0" applyNumberFormat="1" applyFont="1" applyBorder="1" applyAlignment="1">
      <alignment horizontal="center"/>
    </xf>
    <xf numFmtId="2" fontId="5" fillId="0" borderId="13" xfId="0" applyNumberFormat="1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21" xfId="0" applyFont="1" applyBorder="1"/>
    <xf numFmtId="0" fontId="5" fillId="0" borderId="23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165" fontId="5" fillId="0" borderId="0" xfId="1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10" fontId="0" fillId="0" borderId="1" xfId="2" applyNumberFormat="1" applyFont="1" applyBorder="1" applyAlignment="1">
      <alignment horizontal="center"/>
    </xf>
    <xf numFmtId="43" fontId="0" fillId="0" borderId="0" xfId="0" applyNumberFormat="1"/>
    <xf numFmtId="10" fontId="0" fillId="0" borderId="1" xfId="2" applyNumberFormat="1" applyFont="1" applyBorder="1" applyAlignment="1"/>
    <xf numFmtId="2" fontId="0" fillId="0" borderId="0" xfId="0" applyNumberFormat="1"/>
    <xf numFmtId="2" fontId="5" fillId="7" borderId="1" xfId="0" applyNumberFormat="1" applyFont="1" applyFill="1" applyBorder="1"/>
    <xf numFmtId="10" fontId="5" fillId="7" borderId="1" xfId="0" applyNumberFormat="1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0" fontId="0" fillId="8" borderId="1" xfId="2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43" fontId="0" fillId="0" borderId="0" xfId="4" applyFont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43" fontId="0" fillId="0" borderId="1" xfId="4" applyFont="1" applyBorder="1" applyAlignment="1">
      <alignment horizontal="right" wrapText="1"/>
    </xf>
    <xf numFmtId="2" fontId="5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10" fontId="0" fillId="9" borderId="0" xfId="0" applyNumberFormat="1" applyFill="1" applyAlignment="1">
      <alignment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9" borderId="1" xfId="0" applyNumberFormat="1" applyFont="1" applyFill="1" applyBorder="1" applyAlignment="1">
      <alignment horizontal="center" vertical="center" wrapText="1"/>
    </xf>
    <xf numFmtId="2" fontId="0" fillId="9" borderId="1" xfId="0" applyNumberForma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0" fillId="0" borderId="1" xfId="0" applyBorder="1"/>
    <xf numFmtId="2" fontId="0" fillId="8" borderId="1" xfId="0" applyNumberFormat="1" applyFill="1" applyBorder="1" applyProtection="1">
      <protection locked="0"/>
    </xf>
    <xf numFmtId="0" fontId="0" fillId="0" borderId="27" xfId="0" applyBorder="1"/>
    <xf numFmtId="0" fontId="0" fillId="0" borderId="27" xfId="0" applyBorder="1" applyAlignment="1">
      <alignment horizontal="right"/>
    </xf>
    <xf numFmtId="2" fontId="0" fillId="0" borderId="1" xfId="0" applyNumberFormat="1" applyBorder="1" applyProtection="1">
      <protection locked="0"/>
    </xf>
    <xf numFmtId="10" fontId="0" fillId="0" borderId="1" xfId="0" applyNumberFormat="1" applyBorder="1" applyAlignment="1">
      <alignment horizontal="center"/>
    </xf>
    <xf numFmtId="2" fontId="0" fillId="0" borderId="1" xfId="0" applyNumberFormat="1" applyBorder="1"/>
    <xf numFmtId="10" fontId="0" fillId="0" borderId="0" xfId="2" applyNumberFormat="1" applyFont="1" applyBorder="1" applyAlignment="1">
      <alignment horizontal="left"/>
    </xf>
    <xf numFmtId="10" fontId="0" fillId="5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0" fillId="0" borderId="0" xfId="1" applyFont="1"/>
    <xf numFmtId="0" fontId="0" fillId="8" borderId="1" xfId="0" applyFill="1" applyBorder="1"/>
    <xf numFmtId="165" fontId="0" fillId="8" borderId="1" xfId="1" applyFont="1" applyFill="1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2" xfId="0" applyBorder="1"/>
    <xf numFmtId="2" fontId="0" fillId="8" borderId="1" xfId="0" applyNumberFormat="1" applyFill="1" applyBorder="1" applyAlignment="1">
      <alignment horizontal="right"/>
    </xf>
    <xf numFmtId="16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0" fontId="0" fillId="8" borderId="1" xfId="0" applyNumberFormat="1" applyFill="1" applyBorder="1"/>
    <xf numFmtId="2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5" xfId="0" applyBorder="1"/>
    <xf numFmtId="0" fontId="0" fillId="0" borderId="20" xfId="0" applyBorder="1"/>
    <xf numFmtId="2" fontId="0" fillId="0" borderId="17" xfId="0" applyNumberFormat="1" applyBorder="1"/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/>
    <xf numFmtId="2" fontId="0" fillId="0" borderId="18" xfId="0" applyNumberFormat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22" xfId="0" applyBorder="1"/>
    <xf numFmtId="2" fontId="0" fillId="0" borderId="19" xfId="0" applyNumberFormat="1" applyBorder="1"/>
    <xf numFmtId="0" fontId="0" fillId="0" borderId="24" xfId="0" applyBorder="1" applyAlignment="1">
      <alignment horizontal="center"/>
    </xf>
    <xf numFmtId="2" fontId="0" fillId="0" borderId="8" xfId="0" applyNumberFormat="1" applyBorder="1"/>
    <xf numFmtId="2" fontId="0" fillId="0" borderId="4" xfId="0" applyNumberFormat="1" applyBorder="1"/>
    <xf numFmtId="0" fontId="0" fillId="0" borderId="42" xfId="0" applyBorder="1"/>
    <xf numFmtId="0" fontId="0" fillId="8" borderId="10" xfId="0" applyFill="1" applyBorder="1"/>
    <xf numFmtId="0" fontId="0" fillId="0" borderId="39" xfId="0" applyBorder="1"/>
    <xf numFmtId="0" fontId="0" fillId="5" borderId="1" xfId="0" applyFill="1" applyBorder="1" applyAlignment="1">
      <alignment vertical="center" wrapText="1"/>
    </xf>
    <xf numFmtId="0" fontId="0" fillId="5" borderId="1" xfId="0" applyFill="1" applyBorder="1"/>
    <xf numFmtId="10" fontId="0" fillId="5" borderId="1" xfId="2" applyNumberFormat="1" applyFont="1" applyFill="1" applyBorder="1" applyAlignment="1"/>
    <xf numFmtId="166" fontId="0" fillId="5" borderId="1" xfId="2" applyNumberFormat="1" applyFont="1" applyFill="1" applyBorder="1" applyAlignment="1"/>
    <xf numFmtId="165" fontId="0" fillId="0" borderId="0" xfId="1" applyFont="1" applyAlignment="1">
      <alignment horizontal="center"/>
    </xf>
    <xf numFmtId="0" fontId="6" fillId="0" borderId="0" xfId="0" applyFont="1" applyAlignment="1">
      <alignment horizontal="center" wrapText="1"/>
    </xf>
    <xf numFmtId="165" fontId="5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5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wrapText="1"/>
    </xf>
    <xf numFmtId="43" fontId="0" fillId="0" borderId="0" xfId="0" applyNumberFormat="1" applyAlignment="1">
      <alignment wrapText="1"/>
    </xf>
    <xf numFmtId="165" fontId="4" fillId="0" borderId="0" xfId="1"/>
    <xf numFmtId="0" fontId="5" fillId="0" borderId="0" xfId="0" applyFont="1" applyAlignment="1">
      <alignment horizontal="center"/>
    </xf>
    <xf numFmtId="0" fontId="8" fillId="5" borderId="27" xfId="0" applyFont="1" applyFill="1" applyBorder="1" applyAlignment="1">
      <alignment horizontal="left"/>
    </xf>
    <xf numFmtId="0" fontId="8" fillId="5" borderId="28" xfId="0" applyFont="1" applyFill="1" applyBorder="1" applyAlignment="1">
      <alignment horizontal="left"/>
    </xf>
    <xf numFmtId="0" fontId="8" fillId="5" borderId="12" xfId="0" applyFont="1" applyFill="1" applyBorder="1" applyAlignment="1">
      <alignment horizontal="left"/>
    </xf>
    <xf numFmtId="14" fontId="8" fillId="5" borderId="27" xfId="0" applyNumberFormat="1" applyFont="1" applyFill="1" applyBorder="1" applyAlignment="1">
      <alignment horizontal="left"/>
    </xf>
    <xf numFmtId="0" fontId="10" fillId="2" borderId="27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6" fillId="0" borderId="43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2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7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28" xfId="0" applyBorder="1" applyAlignment="1">
      <alignment horizontal="right"/>
    </xf>
    <xf numFmtId="9" fontId="0" fillId="8" borderId="27" xfId="0" applyNumberFormat="1" applyFill="1" applyBorder="1" applyAlignment="1">
      <alignment horizontal="right"/>
    </xf>
    <xf numFmtId="0" fontId="0" fillId="8" borderId="28" xfId="0" applyFill="1" applyBorder="1" applyAlignment="1">
      <alignment horizontal="right"/>
    </xf>
    <xf numFmtId="0" fontId="5" fillId="6" borderId="1" xfId="0" applyFont="1" applyFill="1" applyBorder="1" applyAlignment="1">
      <alignment horizontal="center"/>
    </xf>
    <xf numFmtId="0" fontId="5" fillId="4" borderId="38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0" borderId="1" xfId="0" applyFont="1" applyBorder="1"/>
    <xf numFmtId="0" fontId="0" fillId="0" borderId="1" xfId="0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2" fontId="0" fillId="8" borderId="1" xfId="0" applyNumberFormat="1" applyFill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5" xfId="0" applyBorder="1" applyAlignment="1">
      <alignment horizontal="left"/>
    </xf>
    <xf numFmtId="0" fontId="5" fillId="0" borderId="25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11" borderId="1" xfId="0" applyFont="1" applyFill="1" applyBorder="1" applyAlignment="1">
      <alignment horizontal="center"/>
    </xf>
    <xf numFmtId="0" fontId="0" fillId="5" borderId="39" xfId="0" applyFill="1" applyBorder="1" applyAlignment="1">
      <alignment horizontal="left"/>
    </xf>
    <xf numFmtId="0" fontId="5" fillId="4" borderId="37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0" fillId="5" borderId="10" xfId="0" applyFill="1" applyBorder="1" applyAlignment="1">
      <alignment horizontal="left"/>
    </xf>
    <xf numFmtId="0" fontId="5" fillId="7" borderId="1" xfId="0" applyFont="1" applyFill="1" applyBorder="1" applyAlignment="1">
      <alignment horizontal="center"/>
    </xf>
    <xf numFmtId="0" fontId="5" fillId="3" borderId="1" xfId="0" quotePrefix="1" applyFont="1" applyFill="1" applyBorder="1" applyAlignment="1">
      <alignment horizontal="center"/>
    </xf>
    <xf numFmtId="0" fontId="0" fillId="5" borderId="27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0" fillId="5" borderId="28" xfId="0" applyFill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2" xfId="0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6" borderId="27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7" fillId="7" borderId="25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7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2" fontId="0" fillId="10" borderId="1" xfId="0" applyNumberFormat="1" applyFill="1" applyBorder="1"/>
  </cellXfs>
  <cellStyles count="10">
    <cellStyle name="Moeda" xfId="1" builtinId="4"/>
    <cellStyle name="Moeda 2" xfId="6" xr:uid="{00000000-0005-0000-0000-000001000000}"/>
    <cellStyle name="Moeda 3" xfId="8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 4" xfId="7" xr:uid="{00000000-0005-0000-0000-000006000000}"/>
    <cellStyle name="Porcentagem" xfId="2" builtinId="5"/>
    <cellStyle name="Vírgula" xfId="4" builtinId="3"/>
    <cellStyle name="Vírgula 2" xfId="9" xr:uid="{00000000-0005-0000-0000-000009000000}"/>
  </cellStyles>
  <dxfs count="0"/>
  <tableStyles count="0" defaultTableStyle="TableStyleMedium9" defaultPivotStyle="PivotStyleLight16"/>
  <colors>
    <mruColors>
      <color rgb="FF66FF66"/>
      <color rgb="FFFF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9384-0861-4FE9-81FB-F89D77D4CC65}">
  <dimension ref="B7:C19"/>
  <sheetViews>
    <sheetView workbookViewId="0">
      <selection activeCell="F17" sqref="F17"/>
    </sheetView>
  </sheetViews>
  <sheetFormatPr defaultRowHeight="12.75" x14ac:dyDescent="0.2"/>
  <cols>
    <col min="2" max="2" width="42.5703125" customWidth="1"/>
    <col min="3" max="3" width="12.140625" style="92" bestFit="1" customWidth="1"/>
  </cols>
  <sheetData>
    <row r="7" spans="2:3" x14ac:dyDescent="0.2">
      <c r="B7" s="93" t="s">
        <v>179</v>
      </c>
      <c r="C7" s="93"/>
    </row>
    <row r="8" spans="2:3" x14ac:dyDescent="0.2">
      <c r="B8" t="s">
        <v>180</v>
      </c>
      <c r="C8" s="92">
        <v>200</v>
      </c>
    </row>
    <row r="9" spans="2:3" x14ac:dyDescent="0.2">
      <c r="B9" t="s">
        <v>181</v>
      </c>
      <c r="C9" s="92">
        <v>175</v>
      </c>
    </row>
    <row r="10" spans="2:3" x14ac:dyDescent="0.2">
      <c r="B10" t="s">
        <v>182</v>
      </c>
      <c r="C10" s="92">
        <v>450</v>
      </c>
    </row>
    <row r="11" spans="2:3" x14ac:dyDescent="0.2">
      <c r="B11" t="s">
        <v>183</v>
      </c>
      <c r="C11" s="92">
        <v>280</v>
      </c>
    </row>
    <row r="12" spans="2:3" x14ac:dyDescent="0.2">
      <c r="B12" t="s">
        <v>184</v>
      </c>
      <c r="C12" s="92">
        <v>2000</v>
      </c>
    </row>
    <row r="13" spans="2:3" x14ac:dyDescent="0.2">
      <c r="B13" t="s">
        <v>188</v>
      </c>
      <c r="C13" s="92">
        <v>180</v>
      </c>
    </row>
    <row r="14" spans="2:3" x14ac:dyDescent="0.2">
      <c r="B14" t="s">
        <v>187</v>
      </c>
      <c r="C14" s="92">
        <v>200</v>
      </c>
    </row>
    <row r="15" spans="2:3" x14ac:dyDescent="0.2">
      <c r="C15" s="10">
        <f>SUM(C8:C14)</f>
        <v>3485</v>
      </c>
    </row>
    <row r="17" spans="2:3" x14ac:dyDescent="0.2">
      <c r="B17" t="s">
        <v>185</v>
      </c>
      <c r="C17" s="92">
        <v>176</v>
      </c>
    </row>
    <row r="19" spans="2:3" x14ac:dyDescent="0.2">
      <c r="B19" t="s">
        <v>186</v>
      </c>
      <c r="C19" s="92">
        <f>C15/C17</f>
        <v>19.801136363636363</v>
      </c>
    </row>
  </sheetData>
  <mergeCells count="1">
    <mergeCell ref="B7:C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15"/>
  <sheetViews>
    <sheetView showWhiteSpace="0" topLeftCell="A7" zoomScaleNormal="100" zoomScalePageLayoutView="110" workbookViewId="0">
      <selection activeCell="K55" sqref="K55"/>
    </sheetView>
  </sheetViews>
  <sheetFormatPr defaultRowHeight="12.75" x14ac:dyDescent="0.2"/>
  <cols>
    <col min="2" max="2" width="3.42578125" customWidth="1"/>
    <col min="3" max="3" width="51.85546875" customWidth="1"/>
    <col min="4" max="4" width="6.7109375" bestFit="1" customWidth="1"/>
    <col min="5" max="5" width="8.85546875" customWidth="1"/>
    <col min="6" max="6" width="17.5703125" customWidth="1"/>
    <col min="7" max="7" width="13.5703125" customWidth="1"/>
    <col min="8" max="8" width="13" customWidth="1"/>
    <col min="9" max="9" width="9" customWidth="1"/>
    <col min="10" max="10" width="5" customWidth="1"/>
    <col min="11" max="11" width="9.28515625" bestFit="1" customWidth="1"/>
    <col min="12" max="12" width="13.85546875" bestFit="1" customWidth="1"/>
    <col min="13" max="13" width="18.85546875" customWidth="1"/>
    <col min="14" max="14" width="42.42578125" style="49" customWidth="1"/>
    <col min="15" max="15" width="15.85546875" customWidth="1"/>
    <col min="16" max="16" width="9.5703125" bestFit="1" customWidth="1"/>
  </cols>
  <sheetData>
    <row r="1" spans="2:13" ht="36" customHeight="1" x14ac:dyDescent="0.2">
      <c r="B1" s="101" t="s">
        <v>146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2:13" ht="20.25" x14ac:dyDescent="0.3">
      <c r="B2" s="98" t="s">
        <v>153</v>
      </c>
      <c r="C2" s="99"/>
      <c r="D2" s="99"/>
      <c r="E2" s="99"/>
      <c r="F2" s="99"/>
      <c r="G2" s="99"/>
      <c r="H2" s="99"/>
      <c r="I2" s="99"/>
      <c r="J2" s="99"/>
      <c r="K2" s="99"/>
      <c r="L2" s="100"/>
    </row>
    <row r="3" spans="2:13" ht="18" x14ac:dyDescent="0.25">
      <c r="B3" s="94" t="s">
        <v>147</v>
      </c>
      <c r="C3" s="95"/>
      <c r="D3" s="94" t="s">
        <v>105</v>
      </c>
      <c r="E3" s="96"/>
      <c r="F3" s="96"/>
      <c r="G3" s="96"/>
      <c r="H3" s="96"/>
      <c r="I3" s="96"/>
      <c r="J3" s="96"/>
      <c r="K3" s="96"/>
      <c r="L3" s="95"/>
    </row>
    <row r="4" spans="2:13" ht="18" x14ac:dyDescent="0.25">
      <c r="B4" s="94" t="s">
        <v>151</v>
      </c>
      <c r="C4" s="95"/>
      <c r="D4" s="94">
        <v>517330</v>
      </c>
      <c r="E4" s="96"/>
      <c r="F4" s="96"/>
      <c r="G4" s="96"/>
      <c r="H4" s="96"/>
      <c r="I4" s="96"/>
      <c r="J4" s="96"/>
      <c r="K4" s="96"/>
      <c r="L4" s="95"/>
    </row>
    <row r="5" spans="2:13" ht="18" x14ac:dyDescent="0.25">
      <c r="B5" s="94" t="s">
        <v>152</v>
      </c>
      <c r="C5" s="95"/>
      <c r="D5" s="97">
        <v>45689</v>
      </c>
      <c r="E5" s="96"/>
      <c r="F5" s="96"/>
      <c r="G5" s="96"/>
      <c r="H5" s="96"/>
      <c r="I5" s="96"/>
      <c r="J5" s="96"/>
      <c r="K5" s="96"/>
      <c r="L5" s="95"/>
    </row>
    <row r="6" spans="2:13" x14ac:dyDescent="0.2">
      <c r="B6" s="152" t="s">
        <v>19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</row>
    <row r="7" spans="2:13" x14ac:dyDescent="0.2">
      <c r="B7" s="12">
        <v>1</v>
      </c>
      <c r="C7" s="108" t="s">
        <v>12</v>
      </c>
      <c r="D7" s="108"/>
      <c r="E7" s="108"/>
      <c r="F7" s="108"/>
      <c r="G7" s="108"/>
      <c r="H7" s="108"/>
      <c r="I7" s="108"/>
      <c r="J7" s="108"/>
      <c r="K7" s="12" t="s">
        <v>2</v>
      </c>
      <c r="L7" s="12" t="s">
        <v>1</v>
      </c>
    </row>
    <row r="8" spans="2:13" x14ac:dyDescent="0.2">
      <c r="B8" s="12" t="s">
        <v>4</v>
      </c>
      <c r="C8" s="119" t="s">
        <v>117</v>
      </c>
      <c r="D8" s="153"/>
      <c r="E8" s="153"/>
      <c r="F8" s="153"/>
      <c r="G8" s="153"/>
      <c r="H8" s="153"/>
      <c r="I8" s="153"/>
      <c r="J8" s="153"/>
      <c r="K8" s="39"/>
      <c r="L8" s="40">
        <v>2370.63</v>
      </c>
    </row>
    <row r="9" spans="2:13" x14ac:dyDescent="0.2">
      <c r="B9" s="12" t="s">
        <v>5</v>
      </c>
      <c r="C9" s="41" t="s">
        <v>116</v>
      </c>
      <c r="D9" s="110" t="s">
        <v>106</v>
      </c>
      <c r="E9" s="111"/>
      <c r="F9" s="111"/>
      <c r="G9" s="111"/>
      <c r="H9" s="111"/>
      <c r="I9" s="111"/>
      <c r="J9" s="112"/>
      <c r="K9" s="22">
        <v>0.3</v>
      </c>
      <c r="L9" s="43">
        <f>ROUND(L8*K9,2)</f>
        <v>711.19</v>
      </c>
    </row>
    <row r="10" spans="2:13" x14ac:dyDescent="0.2">
      <c r="B10" s="118" t="s">
        <v>60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8">
        <f>ROUND(SUM(L8:L9),2)</f>
        <v>3081.82</v>
      </c>
    </row>
    <row r="11" spans="2:13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</row>
    <row r="12" spans="2:13" x14ac:dyDescent="0.2">
      <c r="B12" s="118" t="s">
        <v>46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</row>
    <row r="13" spans="2:13" x14ac:dyDescent="0.2">
      <c r="B13" s="158" t="s">
        <v>82</v>
      </c>
      <c r="C13" s="158"/>
      <c r="D13" s="158"/>
      <c r="E13" s="158"/>
      <c r="F13" s="158"/>
      <c r="G13" s="158"/>
      <c r="H13" s="158"/>
      <c r="I13" s="158"/>
      <c r="J13" s="158"/>
      <c r="K13" s="21" t="s">
        <v>2</v>
      </c>
      <c r="L13" s="21" t="s">
        <v>1</v>
      </c>
    </row>
    <row r="14" spans="2:13" x14ac:dyDescent="0.2">
      <c r="B14" s="12" t="s">
        <v>4</v>
      </c>
      <c r="C14" s="119" t="s">
        <v>118</v>
      </c>
      <c r="D14" s="119"/>
      <c r="E14" s="119"/>
      <c r="F14" s="119"/>
      <c r="G14" s="119"/>
      <c r="H14" s="119"/>
      <c r="I14" s="119"/>
      <c r="J14" s="119"/>
      <c r="K14" s="44">
        <v>8.3299999999999999E-2</v>
      </c>
      <c r="L14" s="45">
        <f>ROUND($L$10*K14,2)</f>
        <v>256.72000000000003</v>
      </c>
      <c r="M14" s="46"/>
    </row>
    <row r="15" spans="2:13" x14ac:dyDescent="0.2">
      <c r="B15" s="12" t="s">
        <v>5</v>
      </c>
      <c r="C15" s="119" t="s">
        <v>119</v>
      </c>
      <c r="D15" s="119"/>
      <c r="E15" s="119"/>
      <c r="F15" s="119"/>
      <c r="G15" s="119"/>
      <c r="H15" s="119"/>
      <c r="I15" s="119"/>
      <c r="J15" s="119"/>
      <c r="K15" s="47">
        <f>K14/3</f>
        <v>2.7766666666666665E-2</v>
      </c>
      <c r="L15" s="45">
        <f>ROUND(K15*L10,2)</f>
        <v>85.57</v>
      </c>
      <c r="M15" s="46"/>
    </row>
    <row r="16" spans="2:13" x14ac:dyDescent="0.2">
      <c r="B16" s="159" t="s">
        <v>75</v>
      </c>
      <c r="C16" s="118"/>
      <c r="D16" s="118"/>
      <c r="E16" s="118"/>
      <c r="F16" s="118"/>
      <c r="G16" s="118"/>
      <c r="H16" s="118"/>
      <c r="I16" s="118"/>
      <c r="J16" s="118"/>
      <c r="K16" s="19">
        <f>TRUNC(SUM(K14:K15),4)</f>
        <v>0.111</v>
      </c>
      <c r="L16" s="18">
        <f>ROUND(SUM(L14:L15),2)</f>
        <v>342.29</v>
      </c>
      <c r="M16" s="48"/>
    </row>
    <row r="17" spans="2:15" x14ac:dyDescent="0.2">
      <c r="B17" s="154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48"/>
    </row>
    <row r="18" spans="2:15" x14ac:dyDescent="0.2">
      <c r="B18" s="156" t="s">
        <v>101</v>
      </c>
      <c r="C18" s="156"/>
      <c r="D18" s="156"/>
      <c r="E18" s="156"/>
      <c r="F18" s="156"/>
      <c r="G18" s="156"/>
      <c r="H18" s="156"/>
      <c r="I18" s="156"/>
      <c r="J18" s="156"/>
      <c r="K18" s="21" t="s">
        <v>2</v>
      </c>
      <c r="L18" s="21" t="s">
        <v>1</v>
      </c>
      <c r="M18" s="48"/>
      <c r="O18" s="49"/>
    </row>
    <row r="19" spans="2:15" x14ac:dyDescent="0.2">
      <c r="B19" s="12" t="s">
        <v>4</v>
      </c>
      <c r="C19" s="119" t="s">
        <v>76</v>
      </c>
      <c r="D19" s="119"/>
      <c r="E19" s="119"/>
      <c r="F19" s="119"/>
      <c r="G19" s="119"/>
      <c r="H19" s="119"/>
      <c r="I19" s="119"/>
      <c r="J19" s="119"/>
      <c r="K19" s="44">
        <v>0.2</v>
      </c>
      <c r="L19" s="45">
        <f>ROUND(K19*($L$10+$L$16),2)</f>
        <v>684.82</v>
      </c>
      <c r="M19" s="48"/>
      <c r="N19" s="85"/>
      <c r="O19" s="49"/>
    </row>
    <row r="20" spans="2:15" x14ac:dyDescent="0.2">
      <c r="B20" s="12" t="s">
        <v>5</v>
      </c>
      <c r="C20" s="153" t="s">
        <v>120</v>
      </c>
      <c r="D20" s="153"/>
      <c r="E20" s="119"/>
      <c r="F20" s="119"/>
      <c r="G20" s="119"/>
      <c r="H20" s="119"/>
      <c r="I20" s="119"/>
      <c r="J20" s="119"/>
      <c r="K20" s="44">
        <v>2.5000000000000001E-2</v>
      </c>
      <c r="L20" s="45">
        <f>ROUND(K20*($L$10+$L$16),2)</f>
        <v>85.6</v>
      </c>
      <c r="M20" s="48"/>
    </row>
    <row r="21" spans="2:15" x14ac:dyDescent="0.2">
      <c r="B21" s="20" t="s">
        <v>6</v>
      </c>
      <c r="C21" s="160" t="s">
        <v>103</v>
      </c>
      <c r="D21" s="161"/>
      <c r="E21" s="161"/>
      <c r="F21" s="161"/>
      <c r="G21" s="161"/>
      <c r="H21" s="161"/>
      <c r="I21" s="161"/>
      <c r="J21" s="162"/>
      <c r="K21" s="22">
        <v>1.4999999999999999E-2</v>
      </c>
      <c r="L21" s="45">
        <f t="shared" ref="L21" si="0">ROUND(K21*($L$10+$L$16),2)</f>
        <v>51.36</v>
      </c>
      <c r="M21" s="48"/>
    </row>
    <row r="22" spans="2:15" x14ac:dyDescent="0.2">
      <c r="B22" s="12" t="s">
        <v>7</v>
      </c>
      <c r="C22" s="157" t="s">
        <v>47</v>
      </c>
      <c r="D22" s="157"/>
      <c r="E22" s="119"/>
      <c r="F22" s="119"/>
      <c r="G22" s="119"/>
      <c r="H22" s="119"/>
      <c r="I22" s="119"/>
      <c r="J22" s="119"/>
      <c r="K22" s="44">
        <v>1.4999999999999999E-2</v>
      </c>
      <c r="L22" s="45">
        <f>ROUND(K22*($L$10+$L$16),2)</f>
        <v>51.36</v>
      </c>
      <c r="M22" s="48"/>
      <c r="N22" s="85"/>
    </row>
    <row r="23" spans="2:15" x14ac:dyDescent="0.2">
      <c r="B23" s="12" t="s">
        <v>8</v>
      </c>
      <c r="C23" s="119" t="s">
        <v>48</v>
      </c>
      <c r="D23" s="119"/>
      <c r="E23" s="119"/>
      <c r="F23" s="119"/>
      <c r="G23" s="119"/>
      <c r="H23" s="119"/>
      <c r="I23" s="119"/>
      <c r="J23" s="119"/>
      <c r="K23" s="44">
        <v>0.01</v>
      </c>
      <c r="L23" s="45">
        <f>ROUND(K23*($L$10+$L$16),2)</f>
        <v>34.24</v>
      </c>
      <c r="M23" s="48"/>
      <c r="N23" s="85"/>
    </row>
    <row r="24" spans="2:15" x14ac:dyDescent="0.2">
      <c r="B24" s="12" t="s">
        <v>9</v>
      </c>
      <c r="C24" s="119" t="s">
        <v>49</v>
      </c>
      <c r="D24" s="119"/>
      <c r="E24" s="119"/>
      <c r="F24" s="119"/>
      <c r="G24" s="119"/>
      <c r="H24" s="119"/>
      <c r="I24" s="119"/>
      <c r="J24" s="119"/>
      <c r="K24" s="44">
        <v>6.0000000000000001E-3</v>
      </c>
      <c r="L24" s="45">
        <f>ROUND(K24*($L$10+$L$16),2)</f>
        <v>20.54</v>
      </c>
      <c r="M24" s="48"/>
      <c r="N24" s="85"/>
    </row>
    <row r="25" spans="2:15" x14ac:dyDescent="0.2">
      <c r="B25" s="12" t="s">
        <v>10</v>
      </c>
      <c r="C25" s="119" t="s">
        <v>50</v>
      </c>
      <c r="D25" s="119"/>
      <c r="E25" s="119"/>
      <c r="F25" s="119"/>
      <c r="G25" s="119"/>
      <c r="H25" s="119"/>
      <c r="I25" s="119"/>
      <c r="J25" s="119"/>
      <c r="K25" s="44">
        <v>2E-3</v>
      </c>
      <c r="L25" s="45">
        <f>ROUND(K25*($L$10+$L$16),2)</f>
        <v>6.85</v>
      </c>
      <c r="M25" s="48"/>
      <c r="N25" s="85"/>
    </row>
    <row r="26" spans="2:15" x14ac:dyDescent="0.2">
      <c r="B26" s="12" t="s">
        <v>11</v>
      </c>
      <c r="C26" s="119" t="s">
        <v>51</v>
      </c>
      <c r="D26" s="119"/>
      <c r="E26" s="119"/>
      <c r="F26" s="119"/>
      <c r="G26" s="119"/>
      <c r="H26" s="119"/>
      <c r="I26" s="119"/>
      <c r="J26" s="119"/>
      <c r="K26" s="44">
        <v>0.08</v>
      </c>
      <c r="L26" s="45">
        <f>ROUND(K26*($L$10+$L$16),2)</f>
        <v>273.93</v>
      </c>
      <c r="M26" s="48"/>
      <c r="N26" s="85"/>
    </row>
    <row r="27" spans="2:15" x14ac:dyDescent="0.2">
      <c r="B27" s="108" t="s">
        <v>52</v>
      </c>
      <c r="C27" s="108"/>
      <c r="D27" s="108"/>
      <c r="E27" s="108"/>
      <c r="F27" s="108"/>
      <c r="G27" s="108"/>
      <c r="H27" s="108"/>
      <c r="I27" s="108"/>
      <c r="J27" s="108"/>
      <c r="K27" s="3">
        <f>SUM(K19:K26)</f>
        <v>0.35300000000000004</v>
      </c>
      <c r="L27" s="13">
        <f>ROUND(SUM(L19:L26),2)</f>
        <v>1208.7</v>
      </c>
      <c r="N27" s="85"/>
    </row>
    <row r="28" spans="2:15" x14ac:dyDescent="0.2"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1"/>
      <c r="N28" s="85"/>
    </row>
    <row r="29" spans="2:15" x14ac:dyDescent="0.2">
      <c r="B29" s="156" t="s">
        <v>127</v>
      </c>
      <c r="C29" s="156"/>
      <c r="D29" s="156"/>
      <c r="E29" s="156"/>
      <c r="F29" s="156"/>
      <c r="G29" s="156"/>
      <c r="H29" s="156"/>
      <c r="I29" s="156"/>
      <c r="J29" s="156"/>
      <c r="K29" s="3"/>
      <c r="L29" s="12" t="s">
        <v>1</v>
      </c>
      <c r="N29" s="85"/>
    </row>
    <row r="30" spans="2:15" x14ac:dyDescent="0.2">
      <c r="B30" s="12" t="s">
        <v>4</v>
      </c>
      <c r="C30" s="82" t="s">
        <v>121</v>
      </c>
      <c r="D30" s="39" t="s">
        <v>77</v>
      </c>
      <c r="E30" s="39">
        <v>22</v>
      </c>
      <c r="F30" s="39" t="s">
        <v>78</v>
      </c>
      <c r="G30" s="51">
        <v>2</v>
      </c>
      <c r="H30" s="39" t="s">
        <v>79</v>
      </c>
      <c r="I30" s="52">
        <v>4.8</v>
      </c>
      <c r="J30" s="39"/>
      <c r="K30" s="53" t="s">
        <v>0</v>
      </c>
      <c r="L30" s="54">
        <f>ROUND((E30*G30*I30)-(L8*0.06),2)</f>
        <v>68.959999999999994</v>
      </c>
      <c r="N30" s="85"/>
    </row>
    <row r="31" spans="2:15" x14ac:dyDescent="0.2">
      <c r="B31" s="12" t="s">
        <v>5</v>
      </c>
      <c r="C31" s="41" t="s">
        <v>122</v>
      </c>
      <c r="D31" s="110" t="s">
        <v>80</v>
      </c>
      <c r="E31" s="112"/>
      <c r="F31" s="52">
        <f>52.09*E30</f>
        <v>1145.98</v>
      </c>
      <c r="G31" s="55" t="s">
        <v>81</v>
      </c>
      <c r="H31" s="113">
        <v>0.2</v>
      </c>
      <c r="I31" s="114"/>
      <c r="J31" s="39"/>
      <c r="K31" s="53" t="s">
        <v>0</v>
      </c>
      <c r="L31" s="54">
        <f>ROUND(F31*(100%-H31),2)</f>
        <v>916.78</v>
      </c>
      <c r="M31" s="17"/>
    </row>
    <row r="32" spans="2:15" x14ac:dyDescent="0.2">
      <c r="B32" s="12" t="s">
        <v>6</v>
      </c>
      <c r="C32" s="104" t="s">
        <v>123</v>
      </c>
      <c r="D32" s="105"/>
      <c r="E32" s="105"/>
      <c r="F32" s="105"/>
      <c r="G32" s="105"/>
      <c r="H32" s="105"/>
      <c r="I32" s="105"/>
      <c r="J32" s="106"/>
      <c r="K32" s="53" t="s">
        <v>0</v>
      </c>
      <c r="L32" s="56">
        <v>120.52</v>
      </c>
    </row>
    <row r="33" spans="2:14" x14ac:dyDescent="0.2">
      <c r="B33" s="12" t="s">
        <v>7</v>
      </c>
      <c r="C33" s="107" t="s">
        <v>111</v>
      </c>
      <c r="D33" s="107"/>
      <c r="E33" s="107"/>
      <c r="F33" s="107"/>
      <c r="G33" s="107"/>
      <c r="H33" s="107"/>
      <c r="I33" s="107"/>
      <c r="J33" s="107"/>
      <c r="K33" s="53" t="s">
        <v>0</v>
      </c>
      <c r="L33" s="56">
        <v>13.74</v>
      </c>
    </row>
    <row r="34" spans="2:14" x14ac:dyDescent="0.2">
      <c r="B34" s="108" t="s">
        <v>54</v>
      </c>
      <c r="C34" s="108"/>
      <c r="D34" s="108"/>
      <c r="E34" s="108"/>
      <c r="F34" s="108"/>
      <c r="G34" s="108"/>
      <c r="H34" s="108"/>
      <c r="I34" s="108"/>
      <c r="J34" s="108"/>
      <c r="K34" s="108"/>
      <c r="L34" s="13">
        <f>ROUND(SUM(L30:L33),2)</f>
        <v>1120</v>
      </c>
    </row>
    <row r="35" spans="2:14" x14ac:dyDescent="0.2"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1"/>
    </row>
    <row r="36" spans="2:14" x14ac:dyDescent="0.2">
      <c r="B36" s="115" t="s">
        <v>55</v>
      </c>
      <c r="C36" s="115"/>
      <c r="D36" s="115"/>
      <c r="E36" s="115"/>
      <c r="F36" s="115"/>
      <c r="G36" s="115"/>
      <c r="H36" s="115"/>
      <c r="I36" s="115"/>
      <c r="J36" s="115"/>
      <c r="K36" s="115"/>
      <c r="L36" s="115"/>
    </row>
    <row r="37" spans="2:14" x14ac:dyDescent="0.2"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2" t="s">
        <v>1</v>
      </c>
    </row>
    <row r="38" spans="2:14" x14ac:dyDescent="0.2">
      <c r="B38" s="12" t="s">
        <v>56</v>
      </c>
      <c r="C38" s="109" t="s">
        <v>128</v>
      </c>
      <c r="D38" s="109"/>
      <c r="E38" s="109"/>
      <c r="F38" s="109"/>
      <c r="G38" s="109"/>
      <c r="H38" s="109"/>
      <c r="I38" s="109"/>
      <c r="J38" s="109"/>
      <c r="K38" s="109"/>
      <c r="L38" s="45">
        <f>L16</f>
        <v>342.29</v>
      </c>
    </row>
    <row r="39" spans="2:14" x14ac:dyDescent="0.2">
      <c r="B39" s="12" t="s">
        <v>57</v>
      </c>
      <c r="C39" s="109" t="s">
        <v>102</v>
      </c>
      <c r="D39" s="109"/>
      <c r="E39" s="109"/>
      <c r="F39" s="109"/>
      <c r="G39" s="109"/>
      <c r="H39" s="109"/>
      <c r="I39" s="109"/>
      <c r="J39" s="109"/>
      <c r="K39" s="109"/>
      <c r="L39" s="45">
        <f>L27</f>
        <v>1208.7</v>
      </c>
    </row>
    <row r="40" spans="2:14" x14ac:dyDescent="0.2">
      <c r="B40" s="12" t="s">
        <v>58</v>
      </c>
      <c r="C40" s="109" t="s">
        <v>59</v>
      </c>
      <c r="D40" s="109"/>
      <c r="E40" s="109"/>
      <c r="F40" s="109"/>
      <c r="G40" s="109"/>
      <c r="H40" s="109"/>
      <c r="I40" s="109"/>
      <c r="J40" s="109"/>
      <c r="K40" s="109"/>
      <c r="L40" s="45">
        <f>L34</f>
        <v>1120</v>
      </c>
    </row>
    <row r="41" spans="2:14" x14ac:dyDescent="0.2">
      <c r="B41" s="108" t="s">
        <v>61</v>
      </c>
      <c r="C41" s="108"/>
      <c r="D41" s="108"/>
      <c r="E41" s="108"/>
      <c r="F41" s="108"/>
      <c r="G41" s="108"/>
      <c r="H41" s="108"/>
      <c r="I41" s="108"/>
      <c r="J41" s="108"/>
      <c r="K41" s="108"/>
      <c r="L41" s="13">
        <f>ROUND(SUM(L38:L40),2)</f>
        <v>2670.99</v>
      </c>
    </row>
    <row r="42" spans="2:14" x14ac:dyDescent="0.2">
      <c r="B42" s="116"/>
      <c r="C42" s="117"/>
      <c r="D42" s="117"/>
      <c r="E42" s="117"/>
      <c r="F42" s="117"/>
      <c r="G42" s="117"/>
      <c r="H42" s="117"/>
      <c r="I42" s="117"/>
      <c r="J42" s="117"/>
      <c r="K42" s="117"/>
      <c r="L42" s="117"/>
    </row>
    <row r="43" spans="2:14" x14ac:dyDescent="0.2">
      <c r="B43" s="118" t="s">
        <v>62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</row>
    <row r="44" spans="2:14" x14ac:dyDescent="0.2">
      <c r="B44" s="12">
        <v>3</v>
      </c>
      <c r="C44" s="108" t="s">
        <v>63</v>
      </c>
      <c r="D44" s="108"/>
      <c r="E44" s="108"/>
      <c r="F44" s="108"/>
      <c r="G44" s="108"/>
      <c r="H44" s="108"/>
      <c r="I44" s="108"/>
      <c r="J44" s="108"/>
      <c r="K44" s="12" t="s">
        <v>2</v>
      </c>
      <c r="L44" s="12" t="s">
        <v>1</v>
      </c>
    </row>
    <row r="45" spans="2:14" ht="12.75" customHeight="1" x14ac:dyDescent="0.2">
      <c r="B45" s="12" t="s">
        <v>4</v>
      </c>
      <c r="C45" s="119" t="s">
        <v>176</v>
      </c>
      <c r="D45" s="119"/>
      <c r="E45" s="119"/>
      <c r="F45" s="119"/>
      <c r="G45" s="119"/>
      <c r="H45" s="119"/>
      <c r="I45" s="119"/>
      <c r="J45" s="119"/>
      <c r="K45" s="44">
        <f>0.05*(1/12)</f>
        <v>4.1666666666666666E-3</v>
      </c>
      <c r="L45" s="45">
        <f>ROUND($L$10*K45,2)</f>
        <v>12.84</v>
      </c>
      <c r="M45" s="46"/>
      <c r="N45" s="25"/>
    </row>
    <row r="46" spans="2:14" x14ac:dyDescent="0.2">
      <c r="B46" s="12" t="s">
        <v>5</v>
      </c>
      <c r="C46" s="119" t="s">
        <v>124</v>
      </c>
      <c r="D46" s="119"/>
      <c r="E46" s="119"/>
      <c r="F46" s="119"/>
      <c r="G46" s="119"/>
      <c r="H46" s="119"/>
      <c r="I46" s="119"/>
      <c r="J46" s="119"/>
      <c r="K46" s="57">
        <f>0.08*K45</f>
        <v>3.3333333333333332E-4</v>
      </c>
      <c r="L46" s="45">
        <f>ROUND(K46*L10,2)</f>
        <v>1.03</v>
      </c>
      <c r="N46" s="25"/>
    </row>
    <row r="47" spans="2:14" x14ac:dyDescent="0.2">
      <c r="B47" s="12" t="s">
        <v>6</v>
      </c>
      <c r="C47" s="119" t="s">
        <v>125</v>
      </c>
      <c r="D47" s="119"/>
      <c r="E47" s="119"/>
      <c r="F47" s="119"/>
      <c r="G47" s="119"/>
      <c r="H47" s="119"/>
      <c r="I47" s="119"/>
      <c r="J47" s="119"/>
      <c r="K47" s="44">
        <f>(100/30*7/12)%</f>
        <v>1.9444444444444445E-2</v>
      </c>
      <c r="L47" s="45">
        <f>ROUND($L$10*K47,2)</f>
        <v>59.92</v>
      </c>
    </row>
    <row r="48" spans="2:14" x14ac:dyDescent="0.2">
      <c r="B48" s="12" t="s">
        <v>7</v>
      </c>
      <c r="C48" s="119" t="s">
        <v>126</v>
      </c>
      <c r="D48" s="119"/>
      <c r="E48" s="119"/>
      <c r="F48" s="119"/>
      <c r="G48" s="119"/>
      <c r="H48" s="119"/>
      <c r="I48" s="119"/>
      <c r="J48" s="119"/>
      <c r="K48" s="47">
        <f>K27*K47</f>
        <v>6.8638888888888899E-3</v>
      </c>
      <c r="L48" s="45">
        <f>ROUND(L47*K27,2)</f>
        <v>21.15</v>
      </c>
    </row>
    <row r="49" spans="2:13" x14ac:dyDescent="0.2">
      <c r="B49" s="12" t="s">
        <v>8</v>
      </c>
      <c r="C49" s="119" t="s">
        <v>175</v>
      </c>
      <c r="D49" s="119"/>
      <c r="E49" s="119"/>
      <c r="F49" s="119"/>
      <c r="G49" s="119"/>
      <c r="H49" s="119"/>
      <c r="I49" s="119"/>
      <c r="J49" s="119"/>
      <c r="K49" s="44">
        <f>1*0.08*0.4*0.8</f>
        <v>2.5600000000000001E-2</v>
      </c>
      <c r="L49" s="45">
        <f>ROUND($L$10*K49,2)</f>
        <v>78.89</v>
      </c>
    </row>
    <row r="50" spans="2:13" x14ac:dyDescent="0.2">
      <c r="B50" s="108" t="s">
        <v>64</v>
      </c>
      <c r="C50" s="108"/>
      <c r="D50" s="108"/>
      <c r="E50" s="108"/>
      <c r="F50" s="108"/>
      <c r="G50" s="108"/>
      <c r="H50" s="108"/>
      <c r="I50" s="108"/>
      <c r="J50" s="108"/>
      <c r="K50" s="3">
        <f>ROUND(SUM(K45:K49),4)</f>
        <v>5.6399999999999999E-2</v>
      </c>
      <c r="L50" s="13">
        <f>ROUND(SUM(L45:L49),2)</f>
        <v>173.83</v>
      </c>
    </row>
    <row r="51" spans="2:13" x14ac:dyDescent="0.2">
      <c r="B51" s="127"/>
      <c r="C51" s="128"/>
      <c r="D51" s="128"/>
      <c r="E51" s="128"/>
      <c r="F51" s="128"/>
      <c r="G51" s="128"/>
      <c r="H51" s="128"/>
      <c r="I51" s="128"/>
      <c r="J51" s="128"/>
      <c r="K51" s="128"/>
      <c r="L51" s="128"/>
    </row>
    <row r="52" spans="2:13" x14ac:dyDescent="0.2">
      <c r="B52" s="118" t="s">
        <v>65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</row>
    <row r="53" spans="2:13" x14ac:dyDescent="0.2">
      <c r="B53" s="108" t="s">
        <v>84</v>
      </c>
      <c r="C53" s="108"/>
      <c r="D53" s="108"/>
      <c r="E53" s="108"/>
      <c r="F53" s="108"/>
      <c r="G53" s="108"/>
      <c r="H53" s="108"/>
      <c r="I53" s="108"/>
      <c r="J53" s="108"/>
      <c r="K53" s="12" t="s">
        <v>2</v>
      </c>
      <c r="L53" s="12" t="s">
        <v>1</v>
      </c>
    </row>
    <row r="54" spans="2:13" x14ac:dyDescent="0.2">
      <c r="B54" s="12" t="s">
        <v>4</v>
      </c>
      <c r="C54" s="104" t="s">
        <v>83</v>
      </c>
      <c r="D54" s="105"/>
      <c r="E54" s="105"/>
      <c r="F54" s="105"/>
      <c r="G54" s="105"/>
      <c r="H54" s="105"/>
      <c r="I54" s="105"/>
      <c r="J54" s="106"/>
      <c r="K54" s="44">
        <f>ROUND(L54*1/L10,4)</f>
        <v>0.157</v>
      </c>
      <c r="L54" s="45">
        <f>ROUND((L10+L41+L60)/12,2)</f>
        <v>483.74</v>
      </c>
      <c r="M54" s="17"/>
    </row>
    <row r="55" spans="2:13" x14ac:dyDescent="0.2">
      <c r="B55" s="12" t="s">
        <v>5</v>
      </c>
      <c r="C55" s="109" t="s">
        <v>130</v>
      </c>
      <c r="D55" s="109"/>
      <c r="E55" s="109"/>
      <c r="F55" s="109"/>
      <c r="G55" s="109"/>
      <c r="H55" s="109"/>
      <c r="I55" s="109"/>
      <c r="J55" s="109"/>
      <c r="K55" s="44">
        <f>ROUND(L55*1/L10,4)</f>
        <v>7.1000000000000004E-3</v>
      </c>
      <c r="L55" s="45">
        <f>ROUND((L10+L41+L60)/12/22,2)</f>
        <v>21.99</v>
      </c>
    </row>
    <row r="56" spans="2:13" x14ac:dyDescent="0.2">
      <c r="B56" s="127" t="s">
        <v>66</v>
      </c>
      <c r="C56" s="128"/>
      <c r="D56" s="128"/>
      <c r="E56" s="128"/>
      <c r="F56" s="128"/>
      <c r="G56" s="128"/>
      <c r="H56" s="128"/>
      <c r="I56" s="128"/>
      <c r="J56" s="130"/>
      <c r="K56" s="3">
        <f>TRUNC(SUM(K54:K55),4)</f>
        <v>0.1641</v>
      </c>
      <c r="L56" s="13">
        <f>ROUND(SUM(L54:L55),2)</f>
        <v>505.73</v>
      </c>
    </row>
    <row r="57" spans="2:13" x14ac:dyDescent="0.2">
      <c r="B57" s="127"/>
      <c r="C57" s="128"/>
      <c r="D57" s="128"/>
      <c r="E57" s="128"/>
      <c r="F57" s="128"/>
      <c r="G57" s="128"/>
      <c r="H57" s="128"/>
      <c r="I57" s="128"/>
      <c r="J57" s="128"/>
      <c r="K57" s="128"/>
      <c r="L57" s="128"/>
    </row>
    <row r="58" spans="2:13" x14ac:dyDescent="0.2">
      <c r="B58" s="122" t="s">
        <v>67</v>
      </c>
      <c r="C58" s="123"/>
      <c r="D58" s="123"/>
      <c r="E58" s="123"/>
      <c r="F58" s="123"/>
      <c r="G58" s="123"/>
      <c r="H58" s="123"/>
      <c r="I58" s="123"/>
      <c r="J58" s="123"/>
      <c r="K58" s="123"/>
      <c r="L58" s="124"/>
    </row>
    <row r="59" spans="2:13" x14ac:dyDescent="0.2">
      <c r="B59" s="12">
        <v>5</v>
      </c>
      <c r="C59" s="108" t="s">
        <v>13</v>
      </c>
      <c r="D59" s="108"/>
      <c r="E59" s="108"/>
      <c r="F59" s="108"/>
      <c r="G59" s="108"/>
      <c r="H59" s="108"/>
      <c r="I59" s="108"/>
      <c r="J59" s="108"/>
      <c r="K59" s="12"/>
      <c r="L59" s="12" t="s">
        <v>1</v>
      </c>
    </row>
    <row r="60" spans="2:13" x14ac:dyDescent="0.2">
      <c r="B60" s="12" t="s">
        <v>4</v>
      </c>
      <c r="C60" s="125" t="s">
        <v>115</v>
      </c>
      <c r="D60" s="125"/>
      <c r="E60" s="125"/>
      <c r="F60" s="125"/>
      <c r="G60" s="125"/>
      <c r="H60" s="125"/>
      <c r="I60" s="125"/>
      <c r="J60" s="125"/>
      <c r="K60" s="12" t="s">
        <v>0</v>
      </c>
      <c r="L60" s="29">
        <f>ROUND(SUM(L61:L66),2)</f>
        <v>52.08</v>
      </c>
    </row>
    <row r="61" spans="2:13" ht="69" customHeight="1" x14ac:dyDescent="0.2">
      <c r="B61" s="12"/>
      <c r="C61" s="81" t="s">
        <v>156</v>
      </c>
      <c r="D61" s="126" t="s">
        <v>85</v>
      </c>
      <c r="E61" s="126"/>
      <c r="F61" s="126"/>
      <c r="G61" s="58">
        <v>2</v>
      </c>
      <c r="H61" s="59" t="s">
        <v>86</v>
      </c>
      <c r="I61" s="129">
        <v>120</v>
      </c>
      <c r="J61" s="129"/>
      <c r="K61" s="58"/>
      <c r="L61" s="30">
        <f t="shared" ref="L61:L66" si="1">ROUND(I61*G61/12,2)</f>
        <v>20</v>
      </c>
    </row>
    <row r="62" spans="2:13" ht="29.25" customHeight="1" x14ac:dyDescent="0.2">
      <c r="B62" s="12"/>
      <c r="C62" s="89" t="s">
        <v>157</v>
      </c>
      <c r="D62" s="126" t="s">
        <v>85</v>
      </c>
      <c r="E62" s="126"/>
      <c r="F62" s="126"/>
      <c r="G62" s="58">
        <v>3</v>
      </c>
      <c r="H62" s="59" t="s">
        <v>86</v>
      </c>
      <c r="I62" s="129">
        <v>45</v>
      </c>
      <c r="J62" s="129"/>
      <c r="K62" s="58"/>
      <c r="L62" s="30">
        <f t="shared" si="1"/>
        <v>11.25</v>
      </c>
    </row>
    <row r="63" spans="2:13" ht="38.25" x14ac:dyDescent="0.2">
      <c r="B63" s="12"/>
      <c r="C63" s="81" t="s">
        <v>158</v>
      </c>
      <c r="D63" s="126" t="s">
        <v>85</v>
      </c>
      <c r="E63" s="126"/>
      <c r="F63" s="126"/>
      <c r="G63" s="58">
        <v>1</v>
      </c>
      <c r="H63" s="59" t="s">
        <v>86</v>
      </c>
      <c r="I63" s="129">
        <v>120</v>
      </c>
      <c r="J63" s="129"/>
      <c r="K63" s="58"/>
      <c r="L63" s="30">
        <f t="shared" si="1"/>
        <v>10</v>
      </c>
    </row>
    <row r="64" spans="2:13" ht="57" customHeight="1" x14ac:dyDescent="0.2">
      <c r="B64" s="12"/>
      <c r="C64" s="81" t="s">
        <v>159</v>
      </c>
      <c r="D64" s="126" t="s">
        <v>85</v>
      </c>
      <c r="E64" s="126"/>
      <c r="F64" s="126"/>
      <c r="G64" s="58">
        <v>1</v>
      </c>
      <c r="H64" s="59" t="s">
        <v>86</v>
      </c>
      <c r="I64" s="129">
        <v>10</v>
      </c>
      <c r="J64" s="129"/>
      <c r="K64" s="58"/>
      <c r="L64" s="30">
        <f t="shared" si="1"/>
        <v>0.83</v>
      </c>
    </row>
    <row r="65" spans="2:14" ht="51" x14ac:dyDescent="0.2">
      <c r="B65" s="12"/>
      <c r="C65" s="81" t="s">
        <v>160</v>
      </c>
      <c r="D65" s="126" t="s">
        <v>85</v>
      </c>
      <c r="E65" s="126"/>
      <c r="F65" s="126"/>
      <c r="G65" s="58">
        <v>1</v>
      </c>
      <c r="H65" s="59" t="s">
        <v>86</v>
      </c>
      <c r="I65" s="129">
        <v>100</v>
      </c>
      <c r="J65" s="129"/>
      <c r="K65" s="58"/>
      <c r="L65" s="30">
        <f>ROUND(I65*G65/12,2)</f>
        <v>8.33</v>
      </c>
    </row>
    <row r="66" spans="2:14" ht="25.5" x14ac:dyDescent="0.2">
      <c r="B66" s="12"/>
      <c r="C66" s="81" t="s">
        <v>112</v>
      </c>
      <c r="D66" s="126" t="s">
        <v>85</v>
      </c>
      <c r="E66" s="126"/>
      <c r="F66" s="126"/>
      <c r="G66" s="58">
        <v>1</v>
      </c>
      <c r="H66" s="59" t="s">
        <v>86</v>
      </c>
      <c r="I66" s="129">
        <v>20</v>
      </c>
      <c r="J66" s="129"/>
      <c r="K66" s="58"/>
      <c r="L66" s="30">
        <f t="shared" si="1"/>
        <v>1.67</v>
      </c>
    </row>
    <row r="67" spans="2:14" x14ac:dyDescent="0.2">
      <c r="B67" s="127" t="s">
        <v>68</v>
      </c>
      <c r="C67" s="128"/>
      <c r="D67" s="128"/>
      <c r="E67" s="128"/>
      <c r="F67" s="128"/>
      <c r="G67" s="128"/>
      <c r="H67" s="128"/>
      <c r="I67" s="128"/>
      <c r="J67" s="130"/>
      <c r="K67" s="3" t="s">
        <v>0</v>
      </c>
      <c r="L67" s="13">
        <f>ROUND((L60),2)</f>
        <v>52.08</v>
      </c>
    </row>
    <row r="68" spans="2:14" x14ac:dyDescent="0.2">
      <c r="B68" s="179"/>
      <c r="C68" s="180"/>
      <c r="D68" s="180"/>
      <c r="E68" s="180"/>
      <c r="F68" s="180"/>
      <c r="G68" s="180"/>
      <c r="H68" s="180"/>
      <c r="I68" s="180"/>
      <c r="J68" s="180"/>
      <c r="K68" s="180"/>
      <c r="L68" s="180"/>
    </row>
    <row r="69" spans="2:14" x14ac:dyDescent="0.2">
      <c r="B69" s="122" t="s">
        <v>69</v>
      </c>
      <c r="C69" s="123"/>
      <c r="D69" s="123"/>
      <c r="E69" s="123"/>
      <c r="F69" s="123"/>
      <c r="G69" s="123"/>
      <c r="H69" s="123"/>
      <c r="I69" s="123"/>
      <c r="J69" s="123"/>
      <c r="K69" s="123"/>
      <c r="L69" s="124"/>
    </row>
    <row r="70" spans="2:14" x14ac:dyDescent="0.2">
      <c r="B70" s="12">
        <v>6</v>
      </c>
      <c r="C70" s="108" t="s">
        <v>16</v>
      </c>
      <c r="D70" s="108"/>
      <c r="E70" s="108"/>
      <c r="F70" s="108"/>
      <c r="G70" s="108"/>
      <c r="H70" s="108"/>
      <c r="I70" s="108"/>
      <c r="J70" s="108"/>
      <c r="K70" s="12" t="s">
        <v>2</v>
      </c>
      <c r="L70" s="12" t="s">
        <v>1</v>
      </c>
    </row>
    <row r="71" spans="2:14" x14ac:dyDescent="0.2">
      <c r="B71" s="12" t="s">
        <v>4</v>
      </c>
      <c r="C71" s="109" t="s">
        <v>131</v>
      </c>
      <c r="D71" s="109"/>
      <c r="E71" s="109"/>
      <c r="F71" s="109"/>
      <c r="G71" s="109"/>
      <c r="H71" s="109"/>
      <c r="I71" s="109"/>
      <c r="J71" s="109"/>
      <c r="K71" s="60">
        <v>3.3860000000000001E-3</v>
      </c>
      <c r="L71" s="45">
        <f>ROUND(K71*L86,2)</f>
        <v>21.96</v>
      </c>
      <c r="M71" s="15"/>
    </row>
    <row r="72" spans="2:14" x14ac:dyDescent="0.2">
      <c r="B72" s="12" t="s">
        <v>5</v>
      </c>
      <c r="C72" s="109" t="s">
        <v>3</v>
      </c>
      <c r="D72" s="109"/>
      <c r="E72" s="109"/>
      <c r="F72" s="109"/>
      <c r="G72" s="109"/>
      <c r="H72" s="109"/>
      <c r="I72" s="109"/>
      <c r="J72" s="109"/>
      <c r="K72" s="60">
        <v>2.5000000000000001E-3</v>
      </c>
      <c r="L72" s="45">
        <f>ROUND(K72*(L71+L86),2)</f>
        <v>16.27</v>
      </c>
    </row>
    <row r="73" spans="2:14" x14ac:dyDescent="0.2">
      <c r="B73" s="12" t="s">
        <v>6</v>
      </c>
      <c r="C73" s="184" t="s">
        <v>42</v>
      </c>
      <c r="D73" s="184"/>
      <c r="E73" s="184"/>
      <c r="F73" s="184"/>
      <c r="G73" s="184"/>
      <c r="H73" s="184"/>
      <c r="I73" s="184"/>
      <c r="J73" s="184"/>
      <c r="K73" s="14"/>
      <c r="L73" s="61"/>
    </row>
    <row r="74" spans="2:14" x14ac:dyDescent="0.2">
      <c r="B74" s="12" t="s">
        <v>43</v>
      </c>
      <c r="C74" s="119" t="s">
        <v>40</v>
      </c>
      <c r="D74" s="119"/>
      <c r="E74" s="119"/>
      <c r="F74" s="119"/>
      <c r="G74" s="119"/>
      <c r="H74" s="119"/>
      <c r="I74" s="119"/>
      <c r="J74" s="119"/>
      <c r="K74" s="83">
        <v>6.4999999999999997E-3</v>
      </c>
      <c r="L74" s="45">
        <f>((L$71+L$72+L$86)*K74)/(100%-K$74)</f>
        <v>42.674806240563662</v>
      </c>
      <c r="M74" s="17"/>
    </row>
    <row r="75" spans="2:14" x14ac:dyDescent="0.2">
      <c r="B75" s="12" t="s">
        <v>44</v>
      </c>
      <c r="C75" s="119" t="s">
        <v>41</v>
      </c>
      <c r="D75" s="119"/>
      <c r="E75" s="119"/>
      <c r="F75" s="119"/>
      <c r="G75" s="119"/>
      <c r="H75" s="119"/>
      <c r="I75" s="119"/>
      <c r="J75" s="119"/>
      <c r="K75" s="84">
        <v>0.03</v>
      </c>
      <c r="L75" s="45">
        <f>((L$71+L$72+L$86)*K75)/(100%-K75)</f>
        <v>201.73237113402058</v>
      </c>
      <c r="M75" s="17"/>
    </row>
    <row r="76" spans="2:14" ht="13.5" customHeight="1" x14ac:dyDescent="0.2">
      <c r="B76" s="12" t="s">
        <v>45</v>
      </c>
      <c r="C76" s="109" t="s">
        <v>104</v>
      </c>
      <c r="D76" s="109"/>
      <c r="E76" s="109"/>
      <c r="F76" s="109"/>
      <c r="G76" s="109"/>
      <c r="H76" s="109"/>
      <c r="I76" s="109"/>
      <c r="J76" s="109"/>
      <c r="K76" s="84">
        <v>0.03</v>
      </c>
      <c r="L76" s="45">
        <f>((L$71+L$72+L$86)*K76)/(100%-K76)</f>
        <v>201.73237113402058</v>
      </c>
      <c r="M76" s="102"/>
      <c r="N76" s="103"/>
    </row>
    <row r="77" spans="2:14" x14ac:dyDescent="0.2">
      <c r="B77" s="127" t="s">
        <v>70</v>
      </c>
      <c r="C77" s="128"/>
      <c r="D77" s="128"/>
      <c r="E77" s="128"/>
      <c r="F77" s="128"/>
      <c r="G77" s="128"/>
      <c r="H77" s="128"/>
      <c r="I77" s="128"/>
      <c r="J77" s="130"/>
      <c r="K77" s="16">
        <f>SUM(K71:K76)</f>
        <v>7.2386000000000006E-2</v>
      </c>
      <c r="L77" s="13">
        <f>ROUND(SUM(L71:L76),2)</f>
        <v>484.37</v>
      </c>
      <c r="M77" s="37"/>
      <c r="N77" s="86"/>
    </row>
    <row r="78" spans="2:14" ht="36" customHeight="1" x14ac:dyDescent="0.2">
      <c r="B78" s="49"/>
      <c r="C78" s="105"/>
      <c r="D78" s="105"/>
      <c r="E78" s="105"/>
      <c r="F78" s="105"/>
      <c r="G78" s="105"/>
      <c r="H78" s="105"/>
      <c r="I78" s="105"/>
      <c r="J78" s="105"/>
      <c r="K78" s="105"/>
      <c r="L78" s="105"/>
    </row>
    <row r="79" spans="2:14" x14ac:dyDescent="0.2">
      <c r="B79" s="181" t="s">
        <v>71</v>
      </c>
      <c r="C79" s="182"/>
      <c r="D79" s="182"/>
      <c r="E79" s="182"/>
      <c r="F79" s="182"/>
      <c r="G79" s="182"/>
      <c r="H79" s="182"/>
      <c r="I79" s="182"/>
      <c r="J79" s="182"/>
      <c r="K79" s="182"/>
      <c r="L79" s="183"/>
      <c r="N79" s="87"/>
    </row>
    <row r="80" spans="2:14" x14ac:dyDescent="0.2">
      <c r="B80" s="127" t="s">
        <v>18</v>
      </c>
      <c r="C80" s="128"/>
      <c r="D80" s="128"/>
      <c r="E80" s="128"/>
      <c r="F80" s="128"/>
      <c r="G80" s="128"/>
      <c r="H80" s="128"/>
      <c r="I80" s="128"/>
      <c r="J80" s="128"/>
      <c r="K80" s="130"/>
      <c r="L80" s="12" t="s">
        <v>1</v>
      </c>
    </row>
    <row r="81" spans="2:14" x14ac:dyDescent="0.2">
      <c r="B81" s="53" t="s">
        <v>4</v>
      </c>
      <c r="C81" s="104" t="str">
        <f>B6</f>
        <v>MÓDULO 1 - COMPOSIÇÃO DA REMUNERAÇÃO</v>
      </c>
      <c r="D81" s="105"/>
      <c r="E81" s="105"/>
      <c r="F81" s="105"/>
      <c r="G81" s="105"/>
      <c r="H81" s="105"/>
      <c r="I81" s="105"/>
      <c r="J81" s="105"/>
      <c r="K81" s="106"/>
      <c r="L81" s="45">
        <f>L10</f>
        <v>3081.82</v>
      </c>
    </row>
    <row r="82" spans="2:14" x14ac:dyDescent="0.2">
      <c r="B82" s="53" t="s">
        <v>5</v>
      </c>
      <c r="C82" s="104" t="str">
        <f>B12</f>
        <v>MÓDULO 2 – ENCARGOS E BENEFÍCIOS ANUAIS, MENSAIS E DIÁRIOS</v>
      </c>
      <c r="D82" s="105"/>
      <c r="E82" s="105"/>
      <c r="F82" s="105"/>
      <c r="G82" s="105"/>
      <c r="H82" s="105"/>
      <c r="I82" s="105"/>
      <c r="J82" s="105"/>
      <c r="K82" s="106"/>
      <c r="L82" s="45">
        <f>L41</f>
        <v>2670.99</v>
      </c>
    </row>
    <row r="83" spans="2:14" x14ac:dyDescent="0.2">
      <c r="B83" s="53" t="s">
        <v>6</v>
      </c>
      <c r="C83" s="104" t="str">
        <f>B43</f>
        <v>MÓDULO 3 – PROVISÃO PARA RESCISÃO</v>
      </c>
      <c r="D83" s="105"/>
      <c r="E83" s="105"/>
      <c r="F83" s="105"/>
      <c r="G83" s="105"/>
      <c r="H83" s="105"/>
      <c r="I83" s="105"/>
      <c r="J83" s="105"/>
      <c r="K83" s="106"/>
      <c r="L83" s="45">
        <f>L50</f>
        <v>173.83</v>
      </c>
      <c r="N83" s="87"/>
    </row>
    <row r="84" spans="2:14" x14ac:dyDescent="0.2">
      <c r="B84" s="53" t="s">
        <v>7</v>
      </c>
      <c r="C84" s="104" t="str">
        <f>B52</f>
        <v>MÓDULO 4 – CUSTO DE REPOSIÇÃO DO PROFISSIONAL AUSENTE</v>
      </c>
      <c r="D84" s="105"/>
      <c r="E84" s="105"/>
      <c r="F84" s="105"/>
      <c r="G84" s="105"/>
      <c r="H84" s="105"/>
      <c r="I84" s="105"/>
      <c r="J84" s="105"/>
      <c r="K84" s="106"/>
      <c r="L84" s="45">
        <f>L56</f>
        <v>505.73</v>
      </c>
      <c r="N84" s="87"/>
    </row>
    <row r="85" spans="2:14" x14ac:dyDescent="0.2">
      <c r="B85" s="53" t="s">
        <v>8</v>
      </c>
      <c r="C85" s="104" t="str">
        <f>B58</f>
        <v>MÓDULO 5 – INSUMOS DIVERSOS</v>
      </c>
      <c r="D85" s="105"/>
      <c r="E85" s="105"/>
      <c r="F85" s="105"/>
      <c r="G85" s="105"/>
      <c r="H85" s="105"/>
      <c r="I85" s="105"/>
      <c r="J85" s="105"/>
      <c r="K85" s="106"/>
      <c r="L85" s="45">
        <f>L67</f>
        <v>52.08</v>
      </c>
    </row>
    <row r="86" spans="2:14" x14ac:dyDescent="0.2">
      <c r="B86" s="12"/>
      <c r="C86" s="127" t="s">
        <v>72</v>
      </c>
      <c r="D86" s="128"/>
      <c r="E86" s="128"/>
      <c r="F86" s="128"/>
      <c r="G86" s="128"/>
      <c r="H86" s="128"/>
      <c r="I86" s="128"/>
      <c r="J86" s="128"/>
      <c r="K86" s="130"/>
      <c r="L86" s="13">
        <f>TRUNC(SUM(L81:L85),2)</f>
        <v>6484.45</v>
      </c>
      <c r="N86" s="88"/>
    </row>
    <row r="87" spans="2:14" x14ac:dyDescent="0.2">
      <c r="B87" s="53" t="s">
        <v>9</v>
      </c>
      <c r="C87" s="104" t="str">
        <f>B69</f>
        <v>MÓDULO 6 – CUSTOS INDIRETOS, TRIBUTOS E LUCRO</v>
      </c>
      <c r="D87" s="105"/>
      <c r="E87" s="105"/>
      <c r="F87" s="105"/>
      <c r="G87" s="105"/>
      <c r="H87" s="105"/>
      <c r="I87" s="105"/>
      <c r="J87" s="105"/>
      <c r="K87" s="106"/>
      <c r="L87" s="45">
        <f>L77</f>
        <v>484.37</v>
      </c>
    </row>
    <row r="88" spans="2:14" x14ac:dyDescent="0.2">
      <c r="B88" s="127" t="s">
        <v>74</v>
      </c>
      <c r="C88" s="128"/>
      <c r="D88" s="128"/>
      <c r="E88" s="128"/>
      <c r="F88" s="128"/>
      <c r="G88" s="128"/>
      <c r="H88" s="128"/>
      <c r="I88" s="128"/>
      <c r="J88" s="128"/>
      <c r="K88" s="130"/>
      <c r="L88" s="13">
        <f>TRUNC(SUM(L86:L87),2)</f>
        <v>6968.82</v>
      </c>
      <c r="M88" s="50"/>
    </row>
    <row r="89" spans="2:14" x14ac:dyDescent="0.2">
      <c r="L89" s="17"/>
    </row>
    <row r="90" spans="2:14" hidden="1" x14ac:dyDescent="0.2">
      <c r="B90" s="49"/>
      <c r="C90" s="134" t="s">
        <v>20</v>
      </c>
      <c r="D90" s="134"/>
      <c r="E90" s="134"/>
      <c r="F90" s="134"/>
      <c r="G90" s="134"/>
      <c r="H90" s="134"/>
      <c r="I90" s="134"/>
      <c r="J90" s="134"/>
      <c r="K90" s="1"/>
      <c r="L90" s="1"/>
    </row>
    <row r="91" spans="2:14" ht="40.5" hidden="1" customHeight="1" thickBot="1" x14ac:dyDescent="0.25">
      <c r="B91" s="138" t="s">
        <v>22</v>
      </c>
      <c r="C91" s="139"/>
      <c r="D91" s="138" t="s">
        <v>23</v>
      </c>
      <c r="E91" s="139"/>
      <c r="F91" s="138" t="s">
        <v>25</v>
      </c>
      <c r="G91" s="139"/>
      <c r="H91" s="8"/>
      <c r="I91" s="8"/>
      <c r="J91" s="8" t="s">
        <v>24</v>
      </c>
      <c r="K91" s="9" t="s">
        <v>21</v>
      </c>
      <c r="L91" s="5" t="s">
        <v>1</v>
      </c>
    </row>
    <row r="92" spans="2:14" ht="12.75" hidden="1" customHeight="1" x14ac:dyDescent="0.2">
      <c r="B92" s="142" t="s">
        <v>26</v>
      </c>
      <c r="C92" s="143"/>
      <c r="D92" s="150" t="s">
        <v>30</v>
      </c>
      <c r="E92" s="151"/>
      <c r="F92" s="140"/>
      <c r="G92" s="141"/>
      <c r="H92" s="63"/>
      <c r="I92" s="63"/>
      <c r="J92" s="64" t="s">
        <v>30</v>
      </c>
      <c r="K92" s="65"/>
      <c r="L92" s="66">
        <v>0</v>
      </c>
    </row>
    <row r="93" spans="2:14" ht="12.75" hidden="1" customHeight="1" x14ac:dyDescent="0.2">
      <c r="B93" s="177" t="s">
        <v>27</v>
      </c>
      <c r="C93" s="178"/>
      <c r="D93" s="146" t="s">
        <v>30</v>
      </c>
      <c r="E93" s="147"/>
      <c r="F93" s="148"/>
      <c r="G93" s="149"/>
      <c r="H93" s="68"/>
      <c r="I93" s="68"/>
      <c r="J93" s="55" t="s">
        <v>30</v>
      </c>
      <c r="K93" s="69"/>
      <c r="L93" s="70">
        <v>0</v>
      </c>
    </row>
    <row r="94" spans="2:14" ht="12.75" hidden="1" customHeight="1" x14ac:dyDescent="0.2">
      <c r="B94" s="177" t="s">
        <v>28</v>
      </c>
      <c r="C94" s="178"/>
      <c r="D94" s="146" t="s">
        <v>30</v>
      </c>
      <c r="E94" s="147"/>
      <c r="F94" s="148"/>
      <c r="G94" s="149"/>
      <c r="H94" s="68"/>
      <c r="I94" s="68"/>
      <c r="J94" s="55" t="s">
        <v>30</v>
      </c>
      <c r="K94" s="69"/>
      <c r="L94" s="70">
        <v>0</v>
      </c>
    </row>
    <row r="95" spans="2:14" ht="12.75" hidden="1" customHeight="1" x14ac:dyDescent="0.2">
      <c r="B95" s="177" t="s">
        <v>29</v>
      </c>
      <c r="C95" s="178"/>
      <c r="D95" s="146" t="s">
        <v>30</v>
      </c>
      <c r="E95" s="147"/>
      <c r="F95" s="148"/>
      <c r="G95" s="149"/>
      <c r="H95" s="68"/>
      <c r="I95" s="68"/>
      <c r="J95" s="55" t="s">
        <v>30</v>
      </c>
      <c r="K95" s="69"/>
      <c r="L95" s="70">
        <v>0</v>
      </c>
    </row>
    <row r="96" spans="2:14" ht="12.75" hidden="1" customHeight="1" x14ac:dyDescent="0.2">
      <c r="B96" s="175"/>
      <c r="C96" s="176"/>
      <c r="D96" s="148"/>
      <c r="E96" s="149"/>
      <c r="F96" s="148"/>
      <c r="G96" s="149"/>
      <c r="H96" s="68"/>
      <c r="I96" s="68"/>
      <c r="J96" s="6"/>
      <c r="K96" s="7"/>
      <c r="L96" s="70"/>
    </row>
    <row r="97" spans="2:12" ht="13.5" hidden="1" customHeight="1" thickBot="1" x14ac:dyDescent="0.25">
      <c r="B97" s="173"/>
      <c r="C97" s="174"/>
      <c r="D97" s="144"/>
      <c r="E97" s="145"/>
      <c r="F97" s="144"/>
      <c r="G97" s="145"/>
      <c r="H97" s="71"/>
      <c r="I97" s="71"/>
      <c r="J97" s="72"/>
      <c r="K97" s="73"/>
      <c r="L97" s="74"/>
    </row>
    <row r="98" spans="2:12" ht="13.5" hidden="1" customHeight="1" thickBot="1" x14ac:dyDescent="0.25">
      <c r="B98" s="169" t="s">
        <v>31</v>
      </c>
      <c r="C98" s="170"/>
      <c r="D98" s="170"/>
      <c r="E98" s="170"/>
      <c r="F98" s="170"/>
      <c r="G98" s="170"/>
      <c r="H98" s="170"/>
      <c r="I98" s="170"/>
      <c r="J98" s="170"/>
      <c r="K98" s="172"/>
      <c r="L98" s="4">
        <f>SUM(L96:L97)</f>
        <v>0</v>
      </c>
    </row>
    <row r="99" spans="2:12" hidden="1" x14ac:dyDescent="0.2"/>
    <row r="100" spans="2:12" hidden="1" x14ac:dyDescent="0.2">
      <c r="B100" s="49" t="s">
        <v>32</v>
      </c>
      <c r="C100" s="134" t="s">
        <v>33</v>
      </c>
      <c r="D100" s="134"/>
      <c r="E100" s="134"/>
      <c r="F100" s="134"/>
      <c r="G100" s="134"/>
      <c r="H100" s="134"/>
      <c r="I100" s="134"/>
      <c r="J100" s="134"/>
      <c r="K100" s="1"/>
      <c r="L100" s="1"/>
    </row>
    <row r="101" spans="2:12" ht="13.5" hidden="1" customHeight="1" thickBot="1" x14ac:dyDescent="0.25">
      <c r="B101" s="169" t="s">
        <v>34</v>
      </c>
      <c r="C101" s="170"/>
      <c r="D101" s="170"/>
      <c r="E101" s="170"/>
      <c r="F101" s="170"/>
      <c r="G101" s="170"/>
      <c r="H101" s="170"/>
      <c r="I101" s="170"/>
      <c r="J101" s="170"/>
      <c r="K101" s="170"/>
      <c r="L101" s="171"/>
    </row>
    <row r="102" spans="2:12" ht="13.5" hidden="1" customHeight="1" thickBot="1" x14ac:dyDescent="0.25">
      <c r="B102" s="75"/>
      <c r="C102" s="166" t="s">
        <v>35</v>
      </c>
      <c r="D102" s="167"/>
      <c r="E102" s="167"/>
      <c r="F102" s="167"/>
      <c r="G102" s="167"/>
      <c r="H102" s="167"/>
      <c r="I102" s="167"/>
      <c r="J102" s="167"/>
      <c r="K102" s="168"/>
      <c r="L102" s="5" t="s">
        <v>1</v>
      </c>
    </row>
    <row r="103" spans="2:12" ht="12.75" hidden="1" customHeight="1" x14ac:dyDescent="0.2">
      <c r="B103" s="62" t="s">
        <v>4</v>
      </c>
      <c r="C103" s="135" t="s">
        <v>36</v>
      </c>
      <c r="D103" s="136"/>
      <c r="E103" s="136"/>
      <c r="F103" s="136"/>
      <c r="G103" s="136"/>
      <c r="H103" s="136"/>
      <c r="I103" s="136"/>
      <c r="J103" s="136"/>
      <c r="K103" s="137"/>
      <c r="L103" s="76">
        <f>L74</f>
        <v>42.674806240563662</v>
      </c>
    </row>
    <row r="104" spans="2:12" ht="12.75" hidden="1" customHeight="1" x14ac:dyDescent="0.2">
      <c r="B104" s="67" t="s">
        <v>5</v>
      </c>
      <c r="C104" s="104" t="s">
        <v>37</v>
      </c>
      <c r="D104" s="105"/>
      <c r="E104" s="105"/>
      <c r="F104" s="105"/>
      <c r="G104" s="105"/>
      <c r="H104" s="105"/>
      <c r="I104" s="105"/>
      <c r="J104" s="105"/>
      <c r="K104" s="106"/>
      <c r="L104" s="77" t="e">
        <f>#REF!</f>
        <v>#REF!</v>
      </c>
    </row>
    <row r="105" spans="2:12" ht="13.5" hidden="1" customHeight="1" thickBot="1" x14ac:dyDescent="0.25">
      <c r="B105" s="67" t="s">
        <v>6</v>
      </c>
      <c r="C105" s="163" t="s">
        <v>38</v>
      </c>
      <c r="D105" s="164"/>
      <c r="E105" s="164"/>
      <c r="F105" s="164"/>
      <c r="G105" s="164"/>
      <c r="H105" s="164"/>
      <c r="I105" s="164"/>
      <c r="J105" s="164"/>
      <c r="K105" s="165"/>
      <c r="L105" s="77">
        <f>L77</f>
        <v>484.37</v>
      </c>
    </row>
    <row r="106" spans="2:12" ht="13.5" hidden="1" customHeight="1" thickBot="1" x14ac:dyDescent="0.25">
      <c r="B106" s="131" t="s">
        <v>15</v>
      </c>
      <c r="C106" s="132"/>
      <c r="D106" s="132"/>
      <c r="E106" s="132"/>
      <c r="F106" s="132"/>
      <c r="G106" s="132"/>
      <c r="H106" s="132"/>
      <c r="I106" s="132"/>
      <c r="J106" s="132"/>
      <c r="K106" s="133"/>
      <c r="L106" s="4" t="e">
        <f>SUM(L103:L105)</f>
        <v>#REF!</v>
      </c>
    </row>
    <row r="107" spans="2:12" hidden="1" x14ac:dyDescent="0.2">
      <c r="B107" s="49" t="s">
        <v>14</v>
      </c>
      <c r="C107" t="s">
        <v>39</v>
      </c>
    </row>
    <row r="108" spans="2:12" hidden="1" x14ac:dyDescent="0.2"/>
    <row r="109" spans="2:12" hidden="1" x14ac:dyDescent="0.2"/>
    <row r="110" spans="2:12" hidden="1" x14ac:dyDescent="0.2">
      <c r="C110" s="11" t="s">
        <v>73</v>
      </c>
      <c r="D110" s="11">
        <f>L88/L8</f>
        <v>2.9396489540754986</v>
      </c>
    </row>
    <row r="111" spans="2:12" x14ac:dyDescent="0.2">
      <c r="B111" s="10"/>
      <c r="C111" s="11"/>
      <c r="F111" s="15"/>
    </row>
    <row r="114" spans="2:2" x14ac:dyDescent="0.2">
      <c r="B114" s="15"/>
    </row>
    <row r="115" spans="2:2" x14ac:dyDescent="0.2">
      <c r="B115" s="15"/>
    </row>
  </sheetData>
  <mergeCells count="127">
    <mergeCell ref="B67:J67"/>
    <mergeCell ref="B68:L68"/>
    <mergeCell ref="D64:F64"/>
    <mergeCell ref="D65:F65"/>
    <mergeCell ref="C84:K84"/>
    <mergeCell ref="B79:L79"/>
    <mergeCell ref="C72:J72"/>
    <mergeCell ref="C73:J73"/>
    <mergeCell ref="B77:J77"/>
    <mergeCell ref="I65:J65"/>
    <mergeCell ref="B69:L69"/>
    <mergeCell ref="C70:J70"/>
    <mergeCell ref="C71:J71"/>
    <mergeCell ref="D66:F66"/>
    <mergeCell ref="I66:J66"/>
    <mergeCell ref="I64:J64"/>
    <mergeCell ref="C90:J90"/>
    <mergeCell ref="C87:K87"/>
    <mergeCell ref="B88:K88"/>
    <mergeCell ref="C74:J74"/>
    <mergeCell ref="C75:J75"/>
    <mergeCell ref="C105:K105"/>
    <mergeCell ref="C102:K102"/>
    <mergeCell ref="B101:L101"/>
    <mergeCell ref="B98:K98"/>
    <mergeCell ref="B97:C97"/>
    <mergeCell ref="B96:C96"/>
    <mergeCell ref="B95:C95"/>
    <mergeCell ref="B94:C94"/>
    <mergeCell ref="B93:C93"/>
    <mergeCell ref="D94:E94"/>
    <mergeCell ref="F93:G93"/>
    <mergeCell ref="F94:G94"/>
    <mergeCell ref="F95:G95"/>
    <mergeCell ref="B6:L6"/>
    <mergeCell ref="C7:J7"/>
    <mergeCell ref="C8:J8"/>
    <mergeCell ref="B27:J27"/>
    <mergeCell ref="B17:L17"/>
    <mergeCell ref="C20:J20"/>
    <mergeCell ref="B28:L28"/>
    <mergeCell ref="B29:J29"/>
    <mergeCell ref="B10:K10"/>
    <mergeCell ref="B12:L12"/>
    <mergeCell ref="B18:J18"/>
    <mergeCell ref="C19:J19"/>
    <mergeCell ref="C22:J22"/>
    <mergeCell ref="C23:J23"/>
    <mergeCell ref="C25:J25"/>
    <mergeCell ref="C26:J26"/>
    <mergeCell ref="C24:J24"/>
    <mergeCell ref="B13:J13"/>
    <mergeCell ref="C14:J14"/>
    <mergeCell ref="C15:J15"/>
    <mergeCell ref="B16:J16"/>
    <mergeCell ref="C21:J21"/>
    <mergeCell ref="B106:K106"/>
    <mergeCell ref="C100:J100"/>
    <mergeCell ref="C103:K103"/>
    <mergeCell ref="C104:K104"/>
    <mergeCell ref="F91:G91"/>
    <mergeCell ref="F92:G92"/>
    <mergeCell ref="B92:C92"/>
    <mergeCell ref="C76:J76"/>
    <mergeCell ref="B80:K80"/>
    <mergeCell ref="C85:K85"/>
    <mergeCell ref="C86:K86"/>
    <mergeCell ref="C78:L78"/>
    <mergeCell ref="C81:K81"/>
    <mergeCell ref="C82:K82"/>
    <mergeCell ref="C83:K83"/>
    <mergeCell ref="B91:C91"/>
    <mergeCell ref="F97:G97"/>
    <mergeCell ref="D95:E95"/>
    <mergeCell ref="D96:E96"/>
    <mergeCell ref="D97:E97"/>
    <mergeCell ref="F96:G96"/>
    <mergeCell ref="D91:E91"/>
    <mergeCell ref="D92:E92"/>
    <mergeCell ref="D93:E93"/>
    <mergeCell ref="B58:L58"/>
    <mergeCell ref="B52:L52"/>
    <mergeCell ref="C60:J60"/>
    <mergeCell ref="C59:J59"/>
    <mergeCell ref="D61:F61"/>
    <mergeCell ref="D62:F62"/>
    <mergeCell ref="D63:F63"/>
    <mergeCell ref="B51:L51"/>
    <mergeCell ref="B50:J50"/>
    <mergeCell ref="I61:J61"/>
    <mergeCell ref="I62:J62"/>
    <mergeCell ref="I63:J63"/>
    <mergeCell ref="B57:L57"/>
    <mergeCell ref="B56:J56"/>
    <mergeCell ref="B37:K37"/>
    <mergeCell ref="C38:K38"/>
    <mergeCell ref="C39:K39"/>
    <mergeCell ref="C40:K40"/>
    <mergeCell ref="B41:K41"/>
    <mergeCell ref="B35:L35"/>
    <mergeCell ref="B34:K34"/>
    <mergeCell ref="C48:J48"/>
    <mergeCell ref="C49:J49"/>
    <mergeCell ref="B4:C4"/>
    <mergeCell ref="D4:L4"/>
    <mergeCell ref="B5:C5"/>
    <mergeCell ref="D5:L5"/>
    <mergeCell ref="B2:L2"/>
    <mergeCell ref="B1:L1"/>
    <mergeCell ref="B3:C3"/>
    <mergeCell ref="D3:L3"/>
    <mergeCell ref="M76:N76"/>
    <mergeCell ref="C32:J32"/>
    <mergeCell ref="C33:J33"/>
    <mergeCell ref="B53:J53"/>
    <mergeCell ref="C54:J54"/>
    <mergeCell ref="C55:J55"/>
    <mergeCell ref="D9:J9"/>
    <mergeCell ref="D31:E31"/>
    <mergeCell ref="H31:I31"/>
    <mergeCell ref="B36:L36"/>
    <mergeCell ref="B42:L42"/>
    <mergeCell ref="B43:L43"/>
    <mergeCell ref="C44:J44"/>
    <mergeCell ref="C45:J45"/>
    <mergeCell ref="C46:J46"/>
    <mergeCell ref="C47:J47"/>
  </mergeCells>
  <phoneticPr fontId="6" type="noConversion"/>
  <pageMargins left="0.19685039370078741" right="0.19685039370078741" top="0.19685039370078741" bottom="0.19685039370078741" header="0.19685039370078741" footer="0.19685039370078741"/>
  <pageSetup paperSize="9" scale="46" firstPageNumber="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O117"/>
  <sheetViews>
    <sheetView zoomScaleNormal="100" workbookViewId="0">
      <selection activeCell="M4" sqref="M4"/>
    </sheetView>
  </sheetViews>
  <sheetFormatPr defaultRowHeight="12.75" x14ac:dyDescent="0.2"/>
  <cols>
    <col min="2" max="2" width="3.42578125" customWidth="1"/>
    <col min="3" max="3" width="51.85546875" customWidth="1"/>
    <col min="4" max="4" width="6.7109375" bestFit="1" customWidth="1"/>
    <col min="5" max="5" width="6.140625" bestFit="1" customWidth="1"/>
    <col min="6" max="6" width="10.140625" customWidth="1"/>
    <col min="7" max="7" width="13.5703125" customWidth="1"/>
    <col min="8" max="8" width="15.5703125" customWidth="1"/>
    <col min="9" max="9" width="8.5703125" customWidth="1"/>
    <col min="10" max="10" width="5.42578125" customWidth="1"/>
    <col min="11" max="11" width="9.28515625" bestFit="1" customWidth="1"/>
    <col min="12" max="12" width="13.85546875" bestFit="1" customWidth="1"/>
    <col min="13" max="13" width="15.28515625" customWidth="1"/>
    <col min="14" max="14" width="42.42578125" customWidth="1"/>
    <col min="15" max="15" width="15.85546875" customWidth="1"/>
    <col min="16" max="16" width="9.5703125" bestFit="1" customWidth="1"/>
  </cols>
  <sheetData>
    <row r="1" spans="2:13" ht="36" customHeight="1" x14ac:dyDescent="0.2">
      <c r="B1" s="101" t="s">
        <v>146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2:13" ht="20.25" x14ac:dyDescent="0.3">
      <c r="B2" s="98" t="s">
        <v>154</v>
      </c>
      <c r="C2" s="99"/>
      <c r="D2" s="99"/>
      <c r="E2" s="99"/>
      <c r="F2" s="99"/>
      <c r="G2" s="99"/>
      <c r="H2" s="99"/>
      <c r="I2" s="99"/>
      <c r="J2" s="99"/>
      <c r="K2" s="99"/>
      <c r="L2" s="100"/>
    </row>
    <row r="3" spans="2:13" ht="18" x14ac:dyDescent="0.25">
      <c r="B3" s="94" t="s">
        <v>147</v>
      </c>
      <c r="C3" s="95"/>
      <c r="D3" s="185" t="s">
        <v>113</v>
      </c>
      <c r="E3" s="185"/>
      <c r="F3" s="185"/>
      <c r="G3" s="185"/>
      <c r="H3" s="185"/>
      <c r="I3" s="185"/>
      <c r="J3" s="185"/>
      <c r="K3" s="185"/>
      <c r="L3" s="185"/>
    </row>
    <row r="4" spans="2:13" ht="18" x14ac:dyDescent="0.25">
      <c r="B4" s="94" t="s">
        <v>151</v>
      </c>
      <c r="C4" s="95"/>
      <c r="D4" s="94">
        <v>517330</v>
      </c>
      <c r="E4" s="96"/>
      <c r="F4" s="96"/>
      <c r="G4" s="96"/>
      <c r="H4" s="96"/>
      <c r="I4" s="96"/>
      <c r="J4" s="96"/>
      <c r="K4" s="96"/>
      <c r="L4" s="95"/>
    </row>
    <row r="5" spans="2:13" ht="18" x14ac:dyDescent="0.25">
      <c r="B5" s="94" t="s">
        <v>152</v>
      </c>
      <c r="C5" s="95"/>
      <c r="D5" s="97">
        <v>45689</v>
      </c>
      <c r="E5" s="96"/>
      <c r="F5" s="96"/>
      <c r="G5" s="96"/>
      <c r="H5" s="96"/>
      <c r="I5" s="96"/>
      <c r="J5" s="96"/>
      <c r="K5" s="96"/>
      <c r="L5" s="95"/>
    </row>
    <row r="6" spans="2:13" x14ac:dyDescent="0.2">
      <c r="B6" s="152" t="s">
        <v>19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</row>
    <row r="7" spans="2:13" x14ac:dyDescent="0.2">
      <c r="B7" s="12">
        <v>1</v>
      </c>
      <c r="C7" s="108" t="s">
        <v>12</v>
      </c>
      <c r="D7" s="108"/>
      <c r="E7" s="108"/>
      <c r="F7" s="108"/>
      <c r="G7" s="108"/>
      <c r="H7" s="108"/>
      <c r="I7" s="108"/>
      <c r="J7" s="108"/>
      <c r="K7" s="12" t="s">
        <v>2</v>
      </c>
      <c r="L7" s="12" t="s">
        <v>1</v>
      </c>
    </row>
    <row r="8" spans="2:13" x14ac:dyDescent="0.2">
      <c r="B8" s="12" t="s">
        <v>4</v>
      </c>
      <c r="C8" s="119" t="s">
        <v>117</v>
      </c>
      <c r="D8" s="153"/>
      <c r="E8" s="153"/>
      <c r="F8" s="153"/>
      <c r="G8" s="153"/>
      <c r="H8" s="153"/>
      <c r="I8" s="153"/>
      <c r="J8" s="153"/>
      <c r="K8" s="39"/>
      <c r="L8" s="40">
        <v>2370.63</v>
      </c>
    </row>
    <row r="9" spans="2:13" x14ac:dyDescent="0.2">
      <c r="B9" s="12" t="s">
        <v>5</v>
      </c>
      <c r="C9" s="41" t="s">
        <v>116</v>
      </c>
      <c r="D9" s="110" t="s">
        <v>106</v>
      </c>
      <c r="E9" s="111"/>
      <c r="F9" s="111"/>
      <c r="G9" s="111"/>
      <c r="H9" s="111"/>
      <c r="I9" s="111"/>
      <c r="J9" s="112"/>
      <c r="K9" s="22">
        <v>0.3</v>
      </c>
      <c r="L9" s="43">
        <f>ROUND(L8*K9,2)</f>
        <v>711.19</v>
      </c>
    </row>
    <row r="10" spans="2:13" x14ac:dyDescent="0.2">
      <c r="B10" s="12" t="s">
        <v>6</v>
      </c>
      <c r="C10" s="109" t="s">
        <v>178</v>
      </c>
      <c r="D10" s="109"/>
      <c r="E10" s="109"/>
      <c r="F10" s="109"/>
      <c r="G10" s="109"/>
      <c r="H10" s="109"/>
      <c r="I10" s="109"/>
      <c r="J10" s="109"/>
      <c r="K10" s="44">
        <f>(0.5/220*15*150)%</f>
        <v>5.1136363636363633E-2</v>
      </c>
      <c r="L10" s="45">
        <f>(L8+L9)*K10</f>
        <v>157.59306818181818</v>
      </c>
    </row>
    <row r="11" spans="2:13" x14ac:dyDescent="0.2">
      <c r="B11" s="118" t="s">
        <v>60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8">
        <f>ROUND(SUM(L8:L10),2)</f>
        <v>3239.41</v>
      </c>
    </row>
    <row r="12" spans="2:13" x14ac:dyDescent="0.2"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</row>
    <row r="13" spans="2:13" x14ac:dyDescent="0.2">
      <c r="B13" s="118" t="s">
        <v>46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</row>
    <row r="14" spans="2:13" x14ac:dyDescent="0.2">
      <c r="B14" s="158" t="s">
        <v>82</v>
      </c>
      <c r="C14" s="158"/>
      <c r="D14" s="158"/>
      <c r="E14" s="158"/>
      <c r="F14" s="158"/>
      <c r="G14" s="158"/>
      <c r="H14" s="158"/>
      <c r="I14" s="158"/>
      <c r="J14" s="158"/>
      <c r="K14" s="21" t="s">
        <v>2</v>
      </c>
      <c r="L14" s="21" t="s">
        <v>1</v>
      </c>
    </row>
    <row r="15" spans="2:13" x14ac:dyDescent="0.2">
      <c r="B15" s="12" t="s">
        <v>4</v>
      </c>
      <c r="C15" s="119" t="s">
        <v>118</v>
      </c>
      <c r="D15" s="119"/>
      <c r="E15" s="119"/>
      <c r="F15" s="119"/>
      <c r="G15" s="119"/>
      <c r="H15" s="119"/>
      <c r="I15" s="119"/>
      <c r="J15" s="119"/>
      <c r="K15" s="44">
        <v>8.3299999999999999E-2</v>
      </c>
      <c r="L15" s="45">
        <f>ROUND(($L$11-L10)*K15,2)</f>
        <v>256.72000000000003</v>
      </c>
      <c r="M15" s="46"/>
    </row>
    <row r="16" spans="2:13" x14ac:dyDescent="0.2">
      <c r="B16" s="12" t="s">
        <v>5</v>
      </c>
      <c r="C16" s="119" t="s">
        <v>119</v>
      </c>
      <c r="D16" s="119"/>
      <c r="E16" s="119"/>
      <c r="F16" s="119"/>
      <c r="G16" s="119"/>
      <c r="H16" s="119"/>
      <c r="I16" s="119"/>
      <c r="J16" s="119"/>
      <c r="K16" s="47">
        <f>K15/3</f>
        <v>2.7766666666666665E-2</v>
      </c>
      <c r="L16" s="45">
        <f>ROUND(K16*(L11-L10),2)</f>
        <v>85.57</v>
      </c>
      <c r="M16" s="46"/>
    </row>
    <row r="17" spans="2:15" x14ac:dyDescent="0.2">
      <c r="B17" s="159" t="s">
        <v>75</v>
      </c>
      <c r="C17" s="118"/>
      <c r="D17" s="118"/>
      <c r="E17" s="118"/>
      <c r="F17" s="118"/>
      <c r="G17" s="118"/>
      <c r="H17" s="118"/>
      <c r="I17" s="118"/>
      <c r="J17" s="118"/>
      <c r="K17" s="19">
        <f>TRUNC(SUM(K15:K16),4)</f>
        <v>0.111</v>
      </c>
      <c r="L17" s="18">
        <f>ROUND(SUM(L15:L16),2)</f>
        <v>342.29</v>
      </c>
      <c r="M17" s="48"/>
    </row>
    <row r="18" spans="2:15" x14ac:dyDescent="0.2">
      <c r="B18" s="154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48"/>
    </row>
    <row r="19" spans="2:15" x14ac:dyDescent="0.2">
      <c r="B19" s="156" t="s">
        <v>101</v>
      </c>
      <c r="C19" s="156"/>
      <c r="D19" s="156"/>
      <c r="E19" s="156"/>
      <c r="F19" s="156"/>
      <c r="G19" s="156"/>
      <c r="H19" s="156"/>
      <c r="I19" s="156"/>
      <c r="J19" s="156"/>
      <c r="K19" s="21" t="s">
        <v>2</v>
      </c>
      <c r="L19" s="21" t="s">
        <v>1</v>
      </c>
      <c r="M19" s="48"/>
      <c r="O19" s="49"/>
    </row>
    <row r="20" spans="2:15" x14ac:dyDescent="0.2">
      <c r="B20" s="12" t="s">
        <v>4</v>
      </c>
      <c r="C20" s="119" t="s">
        <v>76</v>
      </c>
      <c r="D20" s="119"/>
      <c r="E20" s="119"/>
      <c r="F20" s="119"/>
      <c r="G20" s="119"/>
      <c r="H20" s="119"/>
      <c r="I20" s="119"/>
      <c r="J20" s="119"/>
      <c r="K20" s="44">
        <v>0.2</v>
      </c>
      <c r="L20" s="193">
        <f>ROUND(K20*(($L$11)+$L$17),2)</f>
        <v>716.34</v>
      </c>
      <c r="M20" s="48"/>
      <c r="N20" s="50"/>
      <c r="O20" s="49"/>
    </row>
    <row r="21" spans="2:15" x14ac:dyDescent="0.2">
      <c r="B21" s="12" t="s">
        <v>5</v>
      </c>
      <c r="C21" s="153" t="s">
        <v>120</v>
      </c>
      <c r="D21" s="153"/>
      <c r="E21" s="119"/>
      <c r="F21" s="119"/>
      <c r="G21" s="119"/>
      <c r="H21" s="119"/>
      <c r="I21" s="119"/>
      <c r="J21" s="119"/>
      <c r="K21" s="44">
        <v>2.5000000000000001E-2</v>
      </c>
      <c r="L21" s="193">
        <f t="shared" ref="L21:L27" si="0">ROUND(K21*(($L$11)+$L$17),2)</f>
        <v>89.54</v>
      </c>
      <c r="M21" s="48"/>
    </row>
    <row r="22" spans="2:15" x14ac:dyDescent="0.2">
      <c r="B22" s="20" t="s">
        <v>6</v>
      </c>
      <c r="C22" s="160" t="s">
        <v>103</v>
      </c>
      <c r="D22" s="161"/>
      <c r="E22" s="161"/>
      <c r="F22" s="161"/>
      <c r="G22" s="161"/>
      <c r="H22" s="161"/>
      <c r="I22" s="161"/>
      <c r="J22" s="162"/>
      <c r="K22" s="22">
        <v>1.4999999999999999E-2</v>
      </c>
      <c r="L22" s="193">
        <f t="shared" si="0"/>
        <v>53.73</v>
      </c>
      <c r="M22" s="48"/>
    </row>
    <row r="23" spans="2:15" x14ac:dyDescent="0.2">
      <c r="B23" s="12" t="s">
        <v>7</v>
      </c>
      <c r="C23" s="157" t="s">
        <v>47</v>
      </c>
      <c r="D23" s="157"/>
      <c r="E23" s="119"/>
      <c r="F23" s="119"/>
      <c r="G23" s="119"/>
      <c r="H23" s="119"/>
      <c r="I23" s="119"/>
      <c r="J23" s="119"/>
      <c r="K23" s="44">
        <v>1.4999999999999999E-2</v>
      </c>
      <c r="L23" s="193">
        <f t="shared" si="0"/>
        <v>53.73</v>
      </c>
      <c r="M23" s="48"/>
      <c r="N23" s="50"/>
    </row>
    <row r="24" spans="2:15" x14ac:dyDescent="0.2">
      <c r="B24" s="12" t="s">
        <v>8</v>
      </c>
      <c r="C24" s="119" t="s">
        <v>48</v>
      </c>
      <c r="D24" s="119"/>
      <c r="E24" s="119"/>
      <c r="F24" s="119"/>
      <c r="G24" s="119"/>
      <c r="H24" s="119"/>
      <c r="I24" s="119"/>
      <c r="J24" s="119"/>
      <c r="K24" s="44">
        <v>0.01</v>
      </c>
      <c r="L24" s="193">
        <f t="shared" si="0"/>
        <v>35.82</v>
      </c>
      <c r="M24" s="48"/>
      <c r="N24" s="50"/>
    </row>
    <row r="25" spans="2:15" x14ac:dyDescent="0.2">
      <c r="B25" s="12" t="s">
        <v>9</v>
      </c>
      <c r="C25" s="119" t="s">
        <v>49</v>
      </c>
      <c r="D25" s="119"/>
      <c r="E25" s="119"/>
      <c r="F25" s="119"/>
      <c r="G25" s="119"/>
      <c r="H25" s="119"/>
      <c r="I25" s="119"/>
      <c r="J25" s="119"/>
      <c r="K25" s="44">
        <v>6.0000000000000001E-3</v>
      </c>
      <c r="L25" s="193">
        <f t="shared" si="0"/>
        <v>21.49</v>
      </c>
      <c r="M25" s="48"/>
      <c r="N25" s="50"/>
    </row>
    <row r="26" spans="2:15" x14ac:dyDescent="0.2">
      <c r="B26" s="12" t="s">
        <v>10</v>
      </c>
      <c r="C26" s="119" t="s">
        <v>50</v>
      </c>
      <c r="D26" s="119"/>
      <c r="E26" s="119"/>
      <c r="F26" s="119"/>
      <c r="G26" s="119"/>
      <c r="H26" s="119"/>
      <c r="I26" s="119"/>
      <c r="J26" s="119"/>
      <c r="K26" s="44">
        <v>2E-3</v>
      </c>
      <c r="L26" s="193">
        <f t="shared" si="0"/>
        <v>7.16</v>
      </c>
      <c r="M26" s="48"/>
      <c r="N26" s="50"/>
    </row>
    <row r="27" spans="2:15" x14ac:dyDescent="0.2">
      <c r="B27" s="12" t="s">
        <v>11</v>
      </c>
      <c r="C27" s="119" t="s">
        <v>51</v>
      </c>
      <c r="D27" s="119"/>
      <c r="E27" s="119"/>
      <c r="F27" s="119"/>
      <c r="G27" s="119"/>
      <c r="H27" s="119"/>
      <c r="I27" s="119"/>
      <c r="J27" s="119"/>
      <c r="K27" s="44">
        <v>0.08</v>
      </c>
      <c r="L27" s="45">
        <f>ROUND(K27*(($L$11-L10)+$L$17),2)</f>
        <v>273.93</v>
      </c>
      <c r="M27" s="48"/>
      <c r="N27" s="50"/>
    </row>
    <row r="28" spans="2:15" x14ac:dyDescent="0.2">
      <c r="B28" s="108" t="s">
        <v>52</v>
      </c>
      <c r="C28" s="108"/>
      <c r="D28" s="108"/>
      <c r="E28" s="108"/>
      <c r="F28" s="108"/>
      <c r="G28" s="108"/>
      <c r="H28" s="108"/>
      <c r="I28" s="108"/>
      <c r="J28" s="108"/>
      <c r="K28" s="3">
        <f>SUM(K20:K27)</f>
        <v>0.35300000000000004</v>
      </c>
      <c r="L28" s="13">
        <f>ROUND(SUM(L20:L27),2)</f>
        <v>1251.74</v>
      </c>
      <c r="M28" s="48"/>
      <c r="N28" s="50"/>
    </row>
    <row r="29" spans="2:15" x14ac:dyDescent="0.2"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1"/>
      <c r="N29" s="50"/>
    </row>
    <row r="30" spans="2:15" x14ac:dyDescent="0.2">
      <c r="B30" s="156" t="s">
        <v>53</v>
      </c>
      <c r="C30" s="156"/>
      <c r="D30" s="156"/>
      <c r="E30" s="156"/>
      <c r="F30" s="156"/>
      <c r="G30" s="156"/>
      <c r="H30" s="156"/>
      <c r="I30" s="156"/>
      <c r="J30" s="156"/>
      <c r="K30" s="3"/>
      <c r="L30" s="12" t="s">
        <v>1</v>
      </c>
      <c r="N30" s="50"/>
    </row>
    <row r="31" spans="2:15" x14ac:dyDescent="0.2">
      <c r="B31" s="12" t="s">
        <v>4</v>
      </c>
      <c r="C31" s="82" t="s">
        <v>121</v>
      </c>
      <c r="D31" s="39" t="s">
        <v>77</v>
      </c>
      <c r="E31" s="39">
        <v>15</v>
      </c>
      <c r="F31" s="39" t="s">
        <v>78</v>
      </c>
      <c r="G31" s="51">
        <v>2</v>
      </c>
      <c r="H31" s="39" t="s">
        <v>79</v>
      </c>
      <c r="I31" s="52">
        <v>4.8</v>
      </c>
      <c r="J31" s="39"/>
      <c r="K31" s="53" t="s">
        <v>0</v>
      </c>
      <c r="L31" s="54">
        <f>ROUND((E31*G31*I31)-(L8*0.06),2)</f>
        <v>1.76</v>
      </c>
      <c r="N31" s="50"/>
    </row>
    <row r="32" spans="2:15" x14ac:dyDescent="0.2">
      <c r="B32" s="12" t="s">
        <v>5</v>
      </c>
      <c r="C32" s="41" t="s">
        <v>122</v>
      </c>
      <c r="D32" s="110" t="s">
        <v>80</v>
      </c>
      <c r="E32" s="112"/>
      <c r="F32" s="51">
        <v>781.35</v>
      </c>
      <c r="G32" s="55" t="s">
        <v>81</v>
      </c>
      <c r="H32" s="113">
        <v>0.2</v>
      </c>
      <c r="I32" s="114"/>
      <c r="J32" s="39"/>
      <c r="K32" s="53" t="s">
        <v>0</v>
      </c>
      <c r="L32" s="54">
        <f>ROUND(F32*(100%-H32),2)</f>
        <v>625.08000000000004</v>
      </c>
      <c r="M32" s="17"/>
    </row>
    <row r="33" spans="2:14" x14ac:dyDescent="0.2">
      <c r="B33" s="12" t="s">
        <v>6</v>
      </c>
      <c r="C33" s="104" t="s">
        <v>123</v>
      </c>
      <c r="D33" s="105"/>
      <c r="E33" s="105"/>
      <c r="F33" s="105"/>
      <c r="G33" s="105"/>
      <c r="H33" s="105"/>
      <c r="I33" s="105"/>
      <c r="J33" s="106"/>
      <c r="K33" s="53" t="s">
        <v>0</v>
      </c>
      <c r="L33" s="56">
        <f>'Vigilante diurno 5x2'!L32</f>
        <v>120.52</v>
      </c>
    </row>
    <row r="34" spans="2:14" x14ac:dyDescent="0.2">
      <c r="B34" s="12" t="s">
        <v>7</v>
      </c>
      <c r="C34" s="107" t="s">
        <v>111</v>
      </c>
      <c r="D34" s="107"/>
      <c r="E34" s="107"/>
      <c r="F34" s="107"/>
      <c r="G34" s="107"/>
      <c r="H34" s="107"/>
      <c r="I34" s="107"/>
      <c r="J34" s="107"/>
      <c r="K34" s="53" t="s">
        <v>0</v>
      </c>
      <c r="L34" s="56">
        <v>13.74</v>
      </c>
    </row>
    <row r="35" spans="2:14" x14ac:dyDescent="0.2">
      <c r="B35" s="108" t="s">
        <v>54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3">
        <f>ROUND(SUM(L31:L34),2)</f>
        <v>761.1</v>
      </c>
    </row>
    <row r="36" spans="2:14" x14ac:dyDescent="0.2"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1"/>
    </row>
    <row r="37" spans="2:14" x14ac:dyDescent="0.2">
      <c r="B37" s="115" t="s">
        <v>55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</row>
    <row r="38" spans="2:14" x14ac:dyDescent="0.2"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2" t="s">
        <v>1</v>
      </c>
    </row>
    <row r="39" spans="2:14" x14ac:dyDescent="0.2">
      <c r="B39" s="12" t="s">
        <v>56</v>
      </c>
      <c r="C39" s="109" t="s">
        <v>128</v>
      </c>
      <c r="D39" s="109"/>
      <c r="E39" s="109"/>
      <c r="F39" s="109"/>
      <c r="G39" s="109"/>
      <c r="H39" s="109"/>
      <c r="I39" s="109"/>
      <c r="J39" s="109"/>
      <c r="K39" s="109"/>
      <c r="L39" s="45">
        <f>L17</f>
        <v>342.29</v>
      </c>
    </row>
    <row r="40" spans="2:14" x14ac:dyDescent="0.2">
      <c r="B40" s="12" t="s">
        <v>57</v>
      </c>
      <c r="C40" s="109" t="s">
        <v>102</v>
      </c>
      <c r="D40" s="109"/>
      <c r="E40" s="109"/>
      <c r="F40" s="109"/>
      <c r="G40" s="109"/>
      <c r="H40" s="109"/>
      <c r="I40" s="109"/>
      <c r="J40" s="109"/>
      <c r="K40" s="109"/>
      <c r="L40" s="45">
        <f>L28</f>
        <v>1251.74</v>
      </c>
    </row>
    <row r="41" spans="2:14" x14ac:dyDescent="0.2">
      <c r="B41" s="12" t="s">
        <v>58</v>
      </c>
      <c r="C41" s="109" t="s">
        <v>129</v>
      </c>
      <c r="D41" s="109"/>
      <c r="E41" s="109"/>
      <c r="F41" s="109"/>
      <c r="G41" s="109"/>
      <c r="H41" s="109"/>
      <c r="I41" s="109"/>
      <c r="J41" s="109"/>
      <c r="K41" s="109"/>
      <c r="L41" s="45">
        <f>L35</f>
        <v>761.1</v>
      </c>
    </row>
    <row r="42" spans="2:14" x14ac:dyDescent="0.2">
      <c r="B42" s="108" t="s">
        <v>61</v>
      </c>
      <c r="C42" s="108"/>
      <c r="D42" s="108"/>
      <c r="E42" s="108"/>
      <c r="F42" s="108"/>
      <c r="G42" s="108"/>
      <c r="H42" s="108"/>
      <c r="I42" s="108"/>
      <c r="J42" s="108"/>
      <c r="K42" s="108"/>
      <c r="L42" s="13">
        <f>ROUND(SUM(L39:L41),2)</f>
        <v>2355.13</v>
      </c>
    </row>
    <row r="43" spans="2:14" x14ac:dyDescent="0.2">
      <c r="B43" s="116"/>
      <c r="C43" s="117"/>
      <c r="D43" s="117"/>
      <c r="E43" s="117"/>
      <c r="F43" s="117"/>
      <c r="G43" s="117"/>
      <c r="H43" s="117"/>
      <c r="I43" s="117"/>
      <c r="J43" s="117"/>
      <c r="K43" s="117"/>
      <c r="L43" s="117"/>
    </row>
    <row r="44" spans="2:14" x14ac:dyDescent="0.2">
      <c r="B44" s="118" t="s">
        <v>62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8"/>
    </row>
    <row r="45" spans="2:14" x14ac:dyDescent="0.2">
      <c r="B45" s="12">
        <v>3</v>
      </c>
      <c r="C45" s="108" t="s">
        <v>63</v>
      </c>
      <c r="D45" s="108"/>
      <c r="E45" s="108"/>
      <c r="F45" s="108"/>
      <c r="G45" s="108"/>
      <c r="H45" s="108"/>
      <c r="I45" s="108"/>
      <c r="J45" s="108"/>
      <c r="K45" s="12" t="s">
        <v>2</v>
      </c>
      <c r="L45" s="12" t="s">
        <v>1</v>
      </c>
    </row>
    <row r="46" spans="2:14" ht="12.75" customHeight="1" x14ac:dyDescent="0.2">
      <c r="B46" s="12" t="s">
        <v>4</v>
      </c>
      <c r="C46" s="109" t="str">
        <f>'Vigilante diurno 5x2'!C45:J45</f>
        <v>Aviso prévio indenizado (Estimativa de que 5% (cinco por cento) dos empregados serão substituídos durante um ano)</v>
      </c>
      <c r="D46" s="109"/>
      <c r="E46" s="109"/>
      <c r="F46" s="109"/>
      <c r="G46" s="109"/>
      <c r="H46" s="109"/>
      <c r="I46" s="109"/>
      <c r="J46" s="109"/>
      <c r="K46" s="44">
        <f>'Vigilante diurno 5x2'!K45</f>
        <v>4.1666666666666666E-3</v>
      </c>
      <c r="L46" s="45">
        <f>ROUND($L$11*K46,2)</f>
        <v>13.5</v>
      </c>
      <c r="M46" s="46"/>
      <c r="N46" s="23"/>
    </row>
    <row r="47" spans="2:14" x14ac:dyDescent="0.2">
      <c r="B47" s="12" t="s">
        <v>5</v>
      </c>
      <c r="C47" s="109" t="str">
        <f>'Vigilante diurno 5x2'!C46:J46</f>
        <v>Incidência do FGTS sobre aviso prévio indenizado</v>
      </c>
      <c r="D47" s="109"/>
      <c r="E47" s="109"/>
      <c r="F47" s="109"/>
      <c r="G47" s="109"/>
      <c r="H47" s="109"/>
      <c r="I47" s="109"/>
      <c r="J47" s="109"/>
      <c r="K47" s="57">
        <f>0.08*K46</f>
        <v>3.3333333333333332E-4</v>
      </c>
      <c r="L47" s="45">
        <f>ROUND(K47*L11,2)</f>
        <v>1.08</v>
      </c>
      <c r="N47" s="23"/>
    </row>
    <row r="48" spans="2:14" x14ac:dyDescent="0.2">
      <c r="B48" s="12" t="s">
        <v>6</v>
      </c>
      <c r="C48" s="109" t="str">
        <f>'Vigilante diurno 5x2'!C47:J47</f>
        <v xml:space="preserve">Aviso prévio trabalhado </v>
      </c>
      <c r="D48" s="109"/>
      <c r="E48" s="109"/>
      <c r="F48" s="109"/>
      <c r="G48" s="109"/>
      <c r="H48" s="109"/>
      <c r="I48" s="109"/>
      <c r="J48" s="109"/>
      <c r="K48" s="44">
        <f>(100/30*7/12)%</f>
        <v>1.9444444444444445E-2</v>
      </c>
      <c r="L48" s="45">
        <f>ROUND($L$11*K48,2)</f>
        <v>62.99</v>
      </c>
      <c r="N48" s="48"/>
    </row>
    <row r="49" spans="2:13" x14ac:dyDescent="0.2">
      <c r="B49" s="12" t="s">
        <v>7</v>
      </c>
      <c r="C49" s="109" t="str">
        <f>'Vigilante diurno 5x2'!C48:J48</f>
        <v>Incidência dos encargos do submódulo 2.2 sobre aviso prévio trabalhado</v>
      </c>
      <c r="D49" s="109"/>
      <c r="E49" s="109"/>
      <c r="F49" s="109"/>
      <c r="G49" s="109"/>
      <c r="H49" s="109"/>
      <c r="I49" s="109"/>
      <c r="J49" s="109"/>
      <c r="K49" s="47">
        <f>K28*K48</f>
        <v>6.8638888888888899E-3</v>
      </c>
      <c r="L49" s="45">
        <f>ROUND(L48*K28,2)</f>
        <v>22.24</v>
      </c>
    </row>
    <row r="50" spans="2:13" x14ac:dyDescent="0.2">
      <c r="B50" s="12" t="s">
        <v>8</v>
      </c>
      <c r="C50" s="119" t="s">
        <v>175</v>
      </c>
      <c r="D50" s="119"/>
      <c r="E50" s="119"/>
      <c r="F50" s="119"/>
      <c r="G50" s="119"/>
      <c r="H50" s="119"/>
      <c r="I50" s="119"/>
      <c r="J50" s="119"/>
      <c r="K50" s="44">
        <f>1*0.08*0.4*0.8</f>
        <v>2.5600000000000001E-2</v>
      </c>
      <c r="L50" s="45">
        <f>ROUND($L$11*K50,2)</f>
        <v>82.93</v>
      </c>
    </row>
    <row r="51" spans="2:13" x14ac:dyDescent="0.2">
      <c r="B51" s="108" t="s">
        <v>64</v>
      </c>
      <c r="C51" s="108"/>
      <c r="D51" s="108"/>
      <c r="E51" s="108"/>
      <c r="F51" s="108"/>
      <c r="G51" s="108"/>
      <c r="H51" s="108"/>
      <c r="I51" s="108"/>
      <c r="J51" s="108"/>
      <c r="K51" s="3">
        <f>ROUND(SUM(K46:K50),4)</f>
        <v>5.6399999999999999E-2</v>
      </c>
      <c r="L51" s="13">
        <f>ROUND(SUM(L46:L50),2)</f>
        <v>182.74</v>
      </c>
    </row>
    <row r="52" spans="2:13" x14ac:dyDescent="0.2">
      <c r="B52" s="127"/>
      <c r="C52" s="128"/>
      <c r="D52" s="128"/>
      <c r="E52" s="128"/>
      <c r="F52" s="128"/>
      <c r="G52" s="128"/>
      <c r="H52" s="128"/>
      <c r="I52" s="128"/>
      <c r="J52" s="128"/>
      <c r="K52" s="128"/>
      <c r="L52" s="128"/>
    </row>
    <row r="53" spans="2:13" x14ac:dyDescent="0.2">
      <c r="B53" s="118" t="s">
        <v>65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</row>
    <row r="54" spans="2:13" x14ac:dyDescent="0.2">
      <c r="B54" s="108" t="s">
        <v>84</v>
      </c>
      <c r="C54" s="108"/>
      <c r="D54" s="108"/>
      <c r="E54" s="108"/>
      <c r="F54" s="108"/>
      <c r="G54" s="108"/>
      <c r="H54" s="108"/>
      <c r="I54" s="108"/>
      <c r="J54" s="108"/>
      <c r="K54" s="12" t="s">
        <v>2</v>
      </c>
      <c r="L54" s="12" t="s">
        <v>1</v>
      </c>
    </row>
    <row r="55" spans="2:13" x14ac:dyDescent="0.2">
      <c r="B55" s="12" t="s">
        <v>4</v>
      </c>
      <c r="C55" s="104" t="s">
        <v>83</v>
      </c>
      <c r="D55" s="105"/>
      <c r="E55" s="105"/>
      <c r="F55" s="105"/>
      <c r="G55" s="105"/>
      <c r="H55" s="105"/>
      <c r="I55" s="105"/>
      <c r="J55" s="106"/>
      <c r="K55" s="44">
        <f>ROUND(L55*1/L11,4)</f>
        <v>0.14530000000000001</v>
      </c>
      <c r="L55" s="45">
        <f>ROUND((L11+L42+L61)/12,2)</f>
        <v>470.66</v>
      </c>
      <c r="M55" s="17"/>
    </row>
    <row r="56" spans="2:13" x14ac:dyDescent="0.2">
      <c r="B56" s="12" t="s">
        <v>5</v>
      </c>
      <c r="C56" s="109" t="s">
        <v>130</v>
      </c>
      <c r="D56" s="109"/>
      <c r="E56" s="109"/>
      <c r="F56" s="109"/>
      <c r="G56" s="109"/>
      <c r="H56" s="109"/>
      <c r="I56" s="109"/>
      <c r="J56" s="109"/>
      <c r="K56" s="44">
        <f>ROUND(L56*1/L11,4)</f>
        <v>9.7000000000000003E-3</v>
      </c>
      <c r="L56" s="45">
        <f>ROUND((L11+L42+L61)/12/15,2)</f>
        <v>31.38</v>
      </c>
    </row>
    <row r="57" spans="2:13" x14ac:dyDescent="0.2">
      <c r="B57" s="127" t="s">
        <v>66</v>
      </c>
      <c r="C57" s="128"/>
      <c r="D57" s="128"/>
      <c r="E57" s="128"/>
      <c r="F57" s="128"/>
      <c r="G57" s="128"/>
      <c r="H57" s="128"/>
      <c r="I57" s="128"/>
      <c r="J57" s="128"/>
      <c r="K57" s="130"/>
      <c r="L57" s="13">
        <f>L55+L56</f>
        <v>502.04</v>
      </c>
    </row>
    <row r="58" spans="2:13" x14ac:dyDescent="0.2">
      <c r="B58" s="127"/>
      <c r="C58" s="128"/>
      <c r="D58" s="128"/>
      <c r="E58" s="128"/>
      <c r="F58" s="128"/>
      <c r="G58" s="128"/>
      <c r="H58" s="128"/>
      <c r="I58" s="128"/>
      <c r="J58" s="128"/>
      <c r="K58" s="128"/>
      <c r="L58" s="128"/>
    </row>
    <row r="59" spans="2:13" x14ac:dyDescent="0.2">
      <c r="B59" s="122" t="s">
        <v>67</v>
      </c>
      <c r="C59" s="123"/>
      <c r="D59" s="123"/>
      <c r="E59" s="123"/>
      <c r="F59" s="123"/>
      <c r="G59" s="123"/>
      <c r="H59" s="123"/>
      <c r="I59" s="123"/>
      <c r="J59" s="123"/>
      <c r="K59" s="123"/>
      <c r="L59" s="124"/>
    </row>
    <row r="60" spans="2:13" x14ac:dyDescent="0.2">
      <c r="B60" s="12">
        <v>5</v>
      </c>
      <c r="C60" s="108" t="s">
        <v>13</v>
      </c>
      <c r="D60" s="108"/>
      <c r="E60" s="108"/>
      <c r="F60" s="108"/>
      <c r="G60" s="108"/>
      <c r="H60" s="108"/>
      <c r="I60" s="108"/>
      <c r="J60" s="108"/>
      <c r="K60" s="12"/>
      <c r="L60" s="12" t="s">
        <v>1</v>
      </c>
    </row>
    <row r="61" spans="2:13" x14ac:dyDescent="0.2">
      <c r="B61" s="12" t="s">
        <v>4</v>
      </c>
      <c r="C61" s="125" t="s">
        <v>115</v>
      </c>
      <c r="D61" s="125"/>
      <c r="E61" s="125"/>
      <c r="F61" s="125"/>
      <c r="G61" s="125"/>
      <c r="H61" s="125"/>
      <c r="I61" s="125"/>
      <c r="J61" s="125"/>
      <c r="K61" s="12" t="s">
        <v>0</v>
      </c>
      <c r="L61" s="29">
        <f>ROUND(SUM(L62:L68),2)</f>
        <v>53.33</v>
      </c>
    </row>
    <row r="62" spans="2:13" ht="66.75" customHeight="1" x14ac:dyDescent="0.2">
      <c r="B62" s="12"/>
      <c r="C62" s="81" t="s">
        <v>156</v>
      </c>
      <c r="D62" s="126" t="s">
        <v>85</v>
      </c>
      <c r="E62" s="126"/>
      <c r="F62" s="126"/>
      <c r="G62" s="58">
        <v>2</v>
      </c>
      <c r="H62" s="59" t="s">
        <v>86</v>
      </c>
      <c r="I62" s="129">
        <v>120</v>
      </c>
      <c r="J62" s="129"/>
      <c r="K62" s="58"/>
      <c r="L62" s="30">
        <f>ROUND(I62*G62/12,2)</f>
        <v>20</v>
      </c>
    </row>
    <row r="63" spans="2:13" ht="30.75" customHeight="1" x14ac:dyDescent="0.2">
      <c r="B63" s="12"/>
      <c r="C63" s="89" t="s">
        <v>157</v>
      </c>
      <c r="D63" s="126" t="s">
        <v>85</v>
      </c>
      <c r="E63" s="126"/>
      <c r="F63" s="126"/>
      <c r="G63" s="58">
        <v>2</v>
      </c>
      <c r="H63" s="59" t="s">
        <v>86</v>
      </c>
      <c r="I63" s="129">
        <v>45</v>
      </c>
      <c r="J63" s="129"/>
      <c r="K63" s="58"/>
      <c r="L63" s="30">
        <f t="shared" ref="L63:L68" si="1">ROUND(I63*G63/12,2)</f>
        <v>7.5</v>
      </c>
    </row>
    <row r="64" spans="2:13" ht="41.25" customHeight="1" x14ac:dyDescent="0.2">
      <c r="B64" s="12"/>
      <c r="C64" s="81" t="s">
        <v>158</v>
      </c>
      <c r="D64" s="126" t="s">
        <v>85</v>
      </c>
      <c r="E64" s="126"/>
      <c r="F64" s="126"/>
      <c r="G64" s="58">
        <v>1</v>
      </c>
      <c r="H64" s="59" t="s">
        <v>86</v>
      </c>
      <c r="I64" s="129">
        <v>120</v>
      </c>
      <c r="J64" s="129"/>
      <c r="K64" s="58"/>
      <c r="L64" s="30">
        <f t="shared" si="1"/>
        <v>10</v>
      </c>
    </row>
    <row r="65" spans="2:14" ht="59.25" customHeight="1" x14ac:dyDescent="0.2">
      <c r="B65" s="12"/>
      <c r="C65" s="81" t="s">
        <v>159</v>
      </c>
      <c r="D65" s="126" t="s">
        <v>85</v>
      </c>
      <c r="E65" s="126"/>
      <c r="F65" s="126"/>
      <c r="G65" s="58">
        <v>1</v>
      </c>
      <c r="H65" s="59" t="s">
        <v>86</v>
      </c>
      <c r="I65" s="129">
        <v>10</v>
      </c>
      <c r="J65" s="129"/>
      <c r="K65" s="58"/>
      <c r="L65" s="30">
        <f t="shared" si="1"/>
        <v>0.83</v>
      </c>
    </row>
    <row r="66" spans="2:14" ht="54" customHeight="1" x14ac:dyDescent="0.2">
      <c r="B66" s="12"/>
      <c r="C66" s="81" t="s">
        <v>160</v>
      </c>
      <c r="D66" s="126" t="s">
        <v>85</v>
      </c>
      <c r="E66" s="126"/>
      <c r="F66" s="126"/>
      <c r="G66" s="58">
        <v>1</v>
      </c>
      <c r="H66" s="59" t="s">
        <v>86</v>
      </c>
      <c r="I66" s="129">
        <v>100</v>
      </c>
      <c r="J66" s="129"/>
      <c r="K66" s="58"/>
      <c r="L66" s="30">
        <f t="shared" si="1"/>
        <v>8.33</v>
      </c>
    </row>
    <row r="67" spans="2:14" ht="25.5" x14ac:dyDescent="0.2">
      <c r="B67" s="12"/>
      <c r="C67" s="81" t="s">
        <v>112</v>
      </c>
      <c r="D67" s="126" t="s">
        <v>85</v>
      </c>
      <c r="E67" s="126"/>
      <c r="F67" s="126"/>
      <c r="G67" s="58">
        <v>1</v>
      </c>
      <c r="H67" s="59" t="s">
        <v>86</v>
      </c>
      <c r="I67" s="129">
        <v>20</v>
      </c>
      <c r="J67" s="129"/>
      <c r="K67" s="58"/>
      <c r="L67" s="30">
        <f t="shared" si="1"/>
        <v>1.67</v>
      </c>
    </row>
    <row r="68" spans="2:14" ht="69.75" customHeight="1" x14ac:dyDescent="0.2">
      <c r="B68" s="12"/>
      <c r="C68" s="81" t="s">
        <v>161</v>
      </c>
      <c r="D68" s="126" t="s">
        <v>85</v>
      </c>
      <c r="E68" s="126"/>
      <c r="F68" s="126"/>
      <c r="G68" s="58">
        <v>1</v>
      </c>
      <c r="H68" s="59" t="s">
        <v>86</v>
      </c>
      <c r="I68" s="129">
        <v>60</v>
      </c>
      <c r="J68" s="129"/>
      <c r="K68" s="58"/>
      <c r="L68" s="30">
        <f t="shared" si="1"/>
        <v>5</v>
      </c>
    </row>
    <row r="69" spans="2:14" x14ac:dyDescent="0.2">
      <c r="B69" s="127" t="s">
        <v>68</v>
      </c>
      <c r="C69" s="128"/>
      <c r="D69" s="128"/>
      <c r="E69" s="128"/>
      <c r="F69" s="128"/>
      <c r="G69" s="128"/>
      <c r="H69" s="128"/>
      <c r="I69" s="128"/>
      <c r="J69" s="130"/>
      <c r="K69" s="3" t="s">
        <v>0</v>
      </c>
      <c r="L69" s="13">
        <f>ROUND((L61),2)</f>
        <v>53.33</v>
      </c>
    </row>
    <row r="70" spans="2:14" x14ac:dyDescent="0.2">
      <c r="B70" s="179"/>
      <c r="C70" s="180"/>
      <c r="D70" s="180"/>
      <c r="E70" s="180"/>
      <c r="F70" s="180"/>
      <c r="G70" s="180"/>
      <c r="H70" s="180"/>
      <c r="I70" s="180"/>
      <c r="J70" s="180"/>
      <c r="K70" s="180"/>
      <c r="L70" s="180"/>
    </row>
    <row r="71" spans="2:14" x14ac:dyDescent="0.2">
      <c r="B71" s="122" t="s">
        <v>69</v>
      </c>
      <c r="C71" s="123"/>
      <c r="D71" s="123"/>
      <c r="E71" s="123"/>
      <c r="F71" s="123"/>
      <c r="G71" s="123"/>
      <c r="H71" s="123"/>
      <c r="I71" s="123"/>
      <c r="J71" s="123"/>
      <c r="K71" s="123"/>
      <c r="L71" s="124"/>
    </row>
    <row r="72" spans="2:14" x14ac:dyDescent="0.2">
      <c r="B72" s="12">
        <v>6</v>
      </c>
      <c r="C72" s="108" t="s">
        <v>16</v>
      </c>
      <c r="D72" s="108"/>
      <c r="E72" s="108"/>
      <c r="F72" s="108"/>
      <c r="G72" s="108"/>
      <c r="H72" s="108"/>
      <c r="I72" s="108"/>
      <c r="J72" s="108"/>
      <c r="K72" s="12" t="s">
        <v>2</v>
      </c>
      <c r="L72" s="12" t="s">
        <v>1</v>
      </c>
    </row>
    <row r="73" spans="2:14" x14ac:dyDescent="0.2">
      <c r="B73" s="12" t="s">
        <v>4</v>
      </c>
      <c r="C73" s="109" t="s">
        <v>17</v>
      </c>
      <c r="D73" s="109"/>
      <c r="E73" s="109"/>
      <c r="F73" s="109"/>
      <c r="G73" s="109"/>
      <c r="H73" s="109"/>
      <c r="I73" s="109"/>
      <c r="J73" s="109"/>
      <c r="K73" s="60">
        <f>'Vigilante diurno 5x2'!K71</f>
        <v>3.3860000000000001E-3</v>
      </c>
      <c r="L73" s="45">
        <f>ROUND(K73*L88,2)</f>
        <v>21.44</v>
      </c>
    </row>
    <row r="74" spans="2:14" x14ac:dyDescent="0.2">
      <c r="B74" s="12" t="s">
        <v>5</v>
      </c>
      <c r="C74" s="109" t="s">
        <v>3</v>
      </c>
      <c r="D74" s="109"/>
      <c r="E74" s="109"/>
      <c r="F74" s="109"/>
      <c r="G74" s="109"/>
      <c r="H74" s="109"/>
      <c r="I74" s="109"/>
      <c r="J74" s="109"/>
      <c r="K74" s="60">
        <f>'Vigilante diurno 5x2'!K72</f>
        <v>2.5000000000000001E-3</v>
      </c>
      <c r="L74" s="45">
        <f>ROUND(K74*(L73+L88),2)</f>
        <v>15.89</v>
      </c>
    </row>
    <row r="75" spans="2:14" x14ac:dyDescent="0.2">
      <c r="B75" s="12" t="s">
        <v>6</v>
      </c>
      <c r="C75" s="184" t="s">
        <v>42</v>
      </c>
      <c r="D75" s="184"/>
      <c r="E75" s="184"/>
      <c r="F75" s="184"/>
      <c r="G75" s="184"/>
      <c r="H75" s="184"/>
      <c r="I75" s="184"/>
      <c r="J75" s="184"/>
      <c r="K75" s="14"/>
      <c r="L75" s="61"/>
    </row>
    <row r="76" spans="2:14" x14ac:dyDescent="0.2">
      <c r="B76" s="12" t="s">
        <v>43</v>
      </c>
      <c r="C76" s="119" t="s">
        <v>40</v>
      </c>
      <c r="D76" s="119"/>
      <c r="E76" s="119"/>
      <c r="F76" s="119"/>
      <c r="G76" s="119"/>
      <c r="H76" s="119"/>
      <c r="I76" s="119"/>
      <c r="J76" s="119"/>
      <c r="K76" s="83">
        <v>6.4999999999999997E-3</v>
      </c>
      <c r="L76" s="45">
        <f>((L$73+L$74+L$88)*K76)/(100%-K$76)</f>
        <v>41.675762455963756</v>
      </c>
    </row>
    <row r="77" spans="2:14" x14ac:dyDescent="0.2">
      <c r="B77" s="12" t="s">
        <v>44</v>
      </c>
      <c r="C77" s="119" t="s">
        <v>41</v>
      </c>
      <c r="D77" s="119"/>
      <c r="E77" s="119"/>
      <c r="F77" s="119"/>
      <c r="G77" s="119"/>
      <c r="H77" s="119"/>
      <c r="I77" s="119"/>
      <c r="J77" s="119"/>
      <c r="K77" s="84">
        <v>0.03</v>
      </c>
      <c r="L77" s="45">
        <f>((L$73+L$74+L$88)*K77)/(100%-K77)</f>
        <v>197.00969072164946</v>
      </c>
    </row>
    <row r="78" spans="2:14" x14ac:dyDescent="0.2">
      <c r="B78" s="12" t="s">
        <v>45</v>
      </c>
      <c r="C78" s="119" t="s">
        <v>104</v>
      </c>
      <c r="D78" s="119"/>
      <c r="E78" s="119"/>
      <c r="F78" s="119"/>
      <c r="G78" s="119"/>
      <c r="H78" s="119"/>
      <c r="I78" s="119"/>
      <c r="J78" s="119"/>
      <c r="K78" s="84">
        <v>0.03</v>
      </c>
      <c r="L78" s="45">
        <f>((L$73+L$74+L$88)*K78)/(100%-K78)</f>
        <v>197.00969072164946</v>
      </c>
      <c r="N78" s="37"/>
    </row>
    <row r="79" spans="2:14" x14ac:dyDescent="0.2">
      <c r="B79" s="127" t="s">
        <v>70</v>
      </c>
      <c r="C79" s="128"/>
      <c r="D79" s="128"/>
      <c r="E79" s="128"/>
      <c r="F79" s="128"/>
      <c r="G79" s="128"/>
      <c r="H79" s="128"/>
      <c r="I79" s="128"/>
      <c r="J79" s="130"/>
      <c r="K79" s="16">
        <f>SUM(K73:K78)</f>
        <v>7.2386000000000006E-2</v>
      </c>
      <c r="L79" s="13">
        <f>ROUND(SUM(L73:L78),2)</f>
        <v>473.03</v>
      </c>
      <c r="M79" s="37"/>
      <c r="N79" s="37"/>
    </row>
    <row r="80" spans="2:14" ht="36" customHeight="1" x14ac:dyDescent="0.2">
      <c r="B80" s="49"/>
      <c r="C80" s="105"/>
      <c r="D80" s="105"/>
      <c r="E80" s="105"/>
      <c r="F80" s="105"/>
      <c r="G80" s="105"/>
      <c r="H80" s="105"/>
      <c r="I80" s="105"/>
      <c r="J80" s="105"/>
      <c r="K80" s="105"/>
      <c r="L80" s="105"/>
    </row>
    <row r="81" spans="2:14" x14ac:dyDescent="0.2">
      <c r="B81" s="181" t="s">
        <v>71</v>
      </c>
      <c r="C81" s="182"/>
      <c r="D81" s="182"/>
      <c r="E81" s="182"/>
      <c r="F81" s="182"/>
      <c r="G81" s="182"/>
      <c r="H81" s="182"/>
      <c r="I81" s="182"/>
      <c r="J81" s="182"/>
      <c r="K81" s="182"/>
      <c r="L81" s="183"/>
      <c r="N81" s="10"/>
    </row>
    <row r="82" spans="2:14" x14ac:dyDescent="0.2">
      <c r="B82" s="127" t="s">
        <v>18</v>
      </c>
      <c r="C82" s="128"/>
      <c r="D82" s="128"/>
      <c r="E82" s="128"/>
      <c r="F82" s="128"/>
      <c r="G82" s="128"/>
      <c r="H82" s="128"/>
      <c r="I82" s="128"/>
      <c r="J82" s="128"/>
      <c r="K82" s="130"/>
      <c r="L82" s="12" t="s">
        <v>1</v>
      </c>
    </row>
    <row r="83" spans="2:14" x14ac:dyDescent="0.2">
      <c r="B83" s="53" t="s">
        <v>4</v>
      </c>
      <c r="C83" s="104" t="str">
        <f>B6</f>
        <v>MÓDULO 1 - COMPOSIÇÃO DA REMUNERAÇÃO</v>
      </c>
      <c r="D83" s="105"/>
      <c r="E83" s="105"/>
      <c r="F83" s="105"/>
      <c r="G83" s="105"/>
      <c r="H83" s="105"/>
      <c r="I83" s="105"/>
      <c r="J83" s="105"/>
      <c r="K83" s="106"/>
      <c r="L83" s="45">
        <f>L11</f>
        <v>3239.41</v>
      </c>
    </row>
    <row r="84" spans="2:14" x14ac:dyDescent="0.2">
      <c r="B84" s="53" t="s">
        <v>5</v>
      </c>
      <c r="C84" s="104" t="str">
        <f>B13</f>
        <v>MÓDULO 2 – ENCARGOS E BENEFÍCIOS ANUAIS, MENSAIS E DIÁRIOS</v>
      </c>
      <c r="D84" s="105"/>
      <c r="E84" s="105"/>
      <c r="F84" s="105"/>
      <c r="G84" s="105"/>
      <c r="H84" s="105"/>
      <c r="I84" s="105"/>
      <c r="J84" s="105"/>
      <c r="K84" s="106"/>
      <c r="L84" s="45">
        <f>L42</f>
        <v>2355.13</v>
      </c>
    </row>
    <row r="85" spans="2:14" x14ac:dyDescent="0.2">
      <c r="B85" s="53" t="s">
        <v>6</v>
      </c>
      <c r="C85" s="104" t="str">
        <f>B44</f>
        <v>MÓDULO 3 – PROVISÃO PARA RESCISÃO</v>
      </c>
      <c r="D85" s="105"/>
      <c r="E85" s="105"/>
      <c r="F85" s="105"/>
      <c r="G85" s="105"/>
      <c r="H85" s="105"/>
      <c r="I85" s="105"/>
      <c r="J85" s="105"/>
      <c r="K85" s="106"/>
      <c r="L85" s="45">
        <f>L51</f>
        <v>182.74</v>
      </c>
      <c r="N85" s="10"/>
    </row>
    <row r="86" spans="2:14" x14ac:dyDescent="0.2">
      <c r="B86" s="53" t="s">
        <v>7</v>
      </c>
      <c r="C86" s="104" t="str">
        <f>B53</f>
        <v>MÓDULO 4 – CUSTO DE REPOSIÇÃO DO PROFISSIONAL AUSENTE</v>
      </c>
      <c r="D86" s="105"/>
      <c r="E86" s="105"/>
      <c r="F86" s="105"/>
      <c r="G86" s="105"/>
      <c r="H86" s="105"/>
      <c r="I86" s="105"/>
      <c r="J86" s="105"/>
      <c r="K86" s="106"/>
      <c r="L86" s="45">
        <f>L57</f>
        <v>502.04</v>
      </c>
      <c r="N86" s="10"/>
    </row>
    <row r="87" spans="2:14" x14ac:dyDescent="0.2">
      <c r="B87" s="53" t="s">
        <v>8</v>
      </c>
      <c r="C87" s="104" t="str">
        <f>B59</f>
        <v>MÓDULO 5 – INSUMOS DIVERSOS</v>
      </c>
      <c r="D87" s="105"/>
      <c r="E87" s="105"/>
      <c r="F87" s="105"/>
      <c r="G87" s="105"/>
      <c r="H87" s="105"/>
      <c r="I87" s="105"/>
      <c r="J87" s="105"/>
      <c r="K87" s="106"/>
      <c r="L87" s="45">
        <f>L69</f>
        <v>53.33</v>
      </c>
    </row>
    <row r="88" spans="2:14" x14ac:dyDescent="0.2">
      <c r="B88" s="12"/>
      <c r="C88" s="127" t="s">
        <v>72</v>
      </c>
      <c r="D88" s="128"/>
      <c r="E88" s="128"/>
      <c r="F88" s="128"/>
      <c r="G88" s="128"/>
      <c r="H88" s="128"/>
      <c r="I88" s="128"/>
      <c r="J88" s="128"/>
      <c r="K88" s="130"/>
      <c r="L88" s="13">
        <f>TRUNC(SUM(L83:L87),2)</f>
        <v>6332.65</v>
      </c>
      <c r="N88" s="17"/>
    </row>
    <row r="89" spans="2:14" x14ac:dyDescent="0.2">
      <c r="B89" s="53" t="s">
        <v>9</v>
      </c>
      <c r="C89" s="104" t="str">
        <f>B71</f>
        <v>MÓDULO 6 – CUSTOS INDIRETOS, TRIBUTOS E LUCRO</v>
      </c>
      <c r="D89" s="105"/>
      <c r="E89" s="105"/>
      <c r="F89" s="105"/>
      <c r="G89" s="105"/>
      <c r="H89" s="105"/>
      <c r="I89" s="105"/>
      <c r="J89" s="105"/>
      <c r="K89" s="106"/>
      <c r="L89" s="45">
        <f>L79</f>
        <v>473.03</v>
      </c>
    </row>
    <row r="90" spans="2:14" x14ac:dyDescent="0.2">
      <c r="B90" s="127" t="s">
        <v>74</v>
      </c>
      <c r="C90" s="128"/>
      <c r="D90" s="128"/>
      <c r="E90" s="128"/>
      <c r="F90" s="128"/>
      <c r="G90" s="128"/>
      <c r="H90" s="128"/>
      <c r="I90" s="128"/>
      <c r="J90" s="128"/>
      <c r="K90" s="130"/>
      <c r="L90" s="13">
        <f>TRUNC(SUM(L88:L89),2)</f>
        <v>6805.68</v>
      </c>
      <c r="M90" s="50"/>
    </row>
    <row r="91" spans="2:14" x14ac:dyDescent="0.2">
      <c r="L91" s="17"/>
    </row>
    <row r="92" spans="2:14" hidden="1" x14ac:dyDescent="0.2">
      <c r="B92" s="49"/>
      <c r="C92" s="134" t="s">
        <v>20</v>
      </c>
      <c r="D92" s="134"/>
      <c r="E92" s="134"/>
      <c r="F92" s="134"/>
      <c r="G92" s="134"/>
      <c r="H92" s="134"/>
      <c r="I92" s="134"/>
      <c r="J92" s="134"/>
      <c r="K92" s="1"/>
      <c r="L92" s="1"/>
    </row>
    <row r="93" spans="2:14" ht="40.5" hidden="1" customHeight="1" x14ac:dyDescent="0.2">
      <c r="B93" s="138" t="s">
        <v>22</v>
      </c>
      <c r="C93" s="139"/>
      <c r="D93" s="138" t="s">
        <v>23</v>
      </c>
      <c r="E93" s="139"/>
      <c r="F93" s="138" t="s">
        <v>25</v>
      </c>
      <c r="G93" s="139"/>
      <c r="H93" s="8"/>
      <c r="I93" s="8"/>
      <c r="J93" s="8" t="s">
        <v>24</v>
      </c>
      <c r="K93" s="9" t="s">
        <v>21</v>
      </c>
      <c r="L93" s="5" t="s">
        <v>1</v>
      </c>
    </row>
    <row r="94" spans="2:14" ht="12.75" hidden="1" customHeight="1" x14ac:dyDescent="0.2">
      <c r="B94" s="142" t="s">
        <v>26</v>
      </c>
      <c r="C94" s="143"/>
      <c r="D94" s="150" t="s">
        <v>30</v>
      </c>
      <c r="E94" s="151"/>
      <c r="F94" s="140"/>
      <c r="G94" s="141"/>
      <c r="H94" s="63"/>
      <c r="I94" s="63"/>
      <c r="J94" s="64" t="s">
        <v>30</v>
      </c>
      <c r="K94" s="65"/>
      <c r="L94" s="66">
        <v>0</v>
      </c>
    </row>
    <row r="95" spans="2:14" ht="12.75" hidden="1" customHeight="1" x14ac:dyDescent="0.2">
      <c r="B95" s="177" t="s">
        <v>27</v>
      </c>
      <c r="C95" s="178"/>
      <c r="D95" s="146" t="s">
        <v>30</v>
      </c>
      <c r="E95" s="147"/>
      <c r="F95" s="148"/>
      <c r="G95" s="149"/>
      <c r="H95" s="68"/>
      <c r="I95" s="68"/>
      <c r="J95" s="55" t="s">
        <v>30</v>
      </c>
      <c r="K95" s="69"/>
      <c r="L95" s="70">
        <v>0</v>
      </c>
    </row>
    <row r="96" spans="2:14" ht="12.75" hidden="1" customHeight="1" x14ac:dyDescent="0.2">
      <c r="B96" s="177" t="s">
        <v>28</v>
      </c>
      <c r="C96" s="178"/>
      <c r="D96" s="146" t="s">
        <v>30</v>
      </c>
      <c r="E96" s="147"/>
      <c r="F96" s="148"/>
      <c r="G96" s="149"/>
      <c r="H96" s="68"/>
      <c r="I96" s="68"/>
      <c r="J96" s="55" t="s">
        <v>30</v>
      </c>
      <c r="K96" s="69"/>
      <c r="L96" s="70">
        <v>0</v>
      </c>
    </row>
    <row r="97" spans="2:12" ht="12.75" hidden="1" customHeight="1" x14ac:dyDescent="0.2">
      <c r="B97" s="177" t="s">
        <v>29</v>
      </c>
      <c r="C97" s="178"/>
      <c r="D97" s="146" t="s">
        <v>30</v>
      </c>
      <c r="E97" s="147"/>
      <c r="F97" s="148"/>
      <c r="G97" s="149"/>
      <c r="H97" s="68"/>
      <c r="I97" s="68"/>
      <c r="J97" s="55" t="s">
        <v>30</v>
      </c>
      <c r="K97" s="69"/>
      <c r="L97" s="70">
        <v>0</v>
      </c>
    </row>
    <row r="98" spans="2:12" ht="12.75" hidden="1" customHeight="1" x14ac:dyDescent="0.2">
      <c r="B98" s="175"/>
      <c r="C98" s="176"/>
      <c r="D98" s="148"/>
      <c r="E98" s="149"/>
      <c r="F98" s="148"/>
      <c r="G98" s="149"/>
      <c r="H98" s="68"/>
      <c r="I98" s="68"/>
      <c r="J98" s="6"/>
      <c r="K98" s="7"/>
      <c r="L98" s="70"/>
    </row>
    <row r="99" spans="2:12" ht="13.5" hidden="1" customHeight="1" x14ac:dyDescent="0.2">
      <c r="B99" s="173"/>
      <c r="C99" s="174"/>
      <c r="D99" s="144"/>
      <c r="E99" s="145"/>
      <c r="F99" s="144"/>
      <c r="G99" s="145"/>
      <c r="H99" s="71"/>
      <c r="I99" s="71"/>
      <c r="J99" s="72"/>
      <c r="K99" s="73"/>
      <c r="L99" s="74"/>
    </row>
    <row r="100" spans="2:12" ht="13.5" hidden="1" customHeight="1" x14ac:dyDescent="0.2">
      <c r="B100" s="169" t="s">
        <v>31</v>
      </c>
      <c r="C100" s="170"/>
      <c r="D100" s="170"/>
      <c r="E100" s="170"/>
      <c r="F100" s="170"/>
      <c r="G100" s="170"/>
      <c r="H100" s="170"/>
      <c r="I100" s="170"/>
      <c r="J100" s="170"/>
      <c r="K100" s="172"/>
      <c r="L100" s="4">
        <f>SUM(L98:L99)</f>
        <v>0</v>
      </c>
    </row>
    <row r="101" spans="2:12" hidden="1" x14ac:dyDescent="0.2"/>
    <row r="102" spans="2:12" hidden="1" x14ac:dyDescent="0.2">
      <c r="B102" s="49" t="s">
        <v>32</v>
      </c>
      <c r="C102" s="134" t="s">
        <v>33</v>
      </c>
      <c r="D102" s="134"/>
      <c r="E102" s="134"/>
      <c r="F102" s="134"/>
      <c r="G102" s="134"/>
      <c r="H102" s="134"/>
      <c r="I102" s="134"/>
      <c r="J102" s="134"/>
      <c r="K102" s="1"/>
      <c r="L102" s="1"/>
    </row>
    <row r="103" spans="2:12" ht="13.5" hidden="1" customHeight="1" x14ac:dyDescent="0.2">
      <c r="B103" s="169" t="s">
        <v>34</v>
      </c>
      <c r="C103" s="170"/>
      <c r="D103" s="170"/>
      <c r="E103" s="170"/>
      <c r="F103" s="170"/>
      <c r="G103" s="170"/>
      <c r="H103" s="170"/>
      <c r="I103" s="170"/>
      <c r="J103" s="170"/>
      <c r="K103" s="170"/>
      <c r="L103" s="171"/>
    </row>
    <row r="104" spans="2:12" ht="13.5" hidden="1" customHeight="1" x14ac:dyDescent="0.2">
      <c r="B104" s="75"/>
      <c r="C104" s="166" t="s">
        <v>35</v>
      </c>
      <c r="D104" s="167"/>
      <c r="E104" s="167"/>
      <c r="F104" s="167"/>
      <c r="G104" s="167"/>
      <c r="H104" s="167"/>
      <c r="I104" s="167"/>
      <c r="J104" s="167"/>
      <c r="K104" s="168"/>
      <c r="L104" s="5" t="s">
        <v>1</v>
      </c>
    </row>
    <row r="105" spans="2:12" ht="12.75" hidden="1" customHeight="1" x14ac:dyDescent="0.2">
      <c r="B105" s="62" t="s">
        <v>4</v>
      </c>
      <c r="C105" s="135" t="s">
        <v>36</v>
      </c>
      <c r="D105" s="136"/>
      <c r="E105" s="136"/>
      <c r="F105" s="136"/>
      <c r="G105" s="136"/>
      <c r="H105" s="136"/>
      <c r="I105" s="136"/>
      <c r="J105" s="136"/>
      <c r="K105" s="137"/>
      <c r="L105" s="76">
        <f>L76</f>
        <v>41.675762455963756</v>
      </c>
    </row>
    <row r="106" spans="2:12" ht="12.75" hidden="1" customHeight="1" x14ac:dyDescent="0.2">
      <c r="B106" s="67" t="s">
        <v>5</v>
      </c>
      <c r="C106" s="104" t="s">
        <v>37</v>
      </c>
      <c r="D106" s="105"/>
      <c r="E106" s="105"/>
      <c r="F106" s="105"/>
      <c r="G106" s="105"/>
      <c r="H106" s="105"/>
      <c r="I106" s="105"/>
      <c r="J106" s="105"/>
      <c r="K106" s="106"/>
      <c r="L106" s="77" t="e">
        <f>#REF!</f>
        <v>#REF!</v>
      </c>
    </row>
    <row r="107" spans="2:12" ht="13.5" hidden="1" customHeight="1" x14ac:dyDescent="0.2">
      <c r="B107" s="67" t="s">
        <v>6</v>
      </c>
      <c r="C107" s="163" t="s">
        <v>38</v>
      </c>
      <c r="D107" s="164"/>
      <c r="E107" s="164"/>
      <c r="F107" s="164"/>
      <c r="G107" s="164"/>
      <c r="H107" s="164"/>
      <c r="I107" s="164"/>
      <c r="J107" s="164"/>
      <c r="K107" s="165"/>
      <c r="L107" s="77">
        <f>L79</f>
        <v>473.03</v>
      </c>
    </row>
    <row r="108" spans="2:12" ht="13.5" hidden="1" customHeight="1" x14ac:dyDescent="0.2">
      <c r="B108" s="131" t="s">
        <v>15</v>
      </c>
      <c r="C108" s="132"/>
      <c r="D108" s="132"/>
      <c r="E108" s="132"/>
      <c r="F108" s="132"/>
      <c r="G108" s="132"/>
      <c r="H108" s="132"/>
      <c r="I108" s="132"/>
      <c r="J108" s="132"/>
      <c r="K108" s="133"/>
      <c r="L108" s="4" t="e">
        <f>SUM(L105:L107)</f>
        <v>#REF!</v>
      </c>
    </row>
    <row r="109" spans="2:12" hidden="1" x14ac:dyDescent="0.2">
      <c r="B109" s="49" t="s">
        <v>14</v>
      </c>
      <c r="C109" t="s">
        <v>39</v>
      </c>
    </row>
    <row r="110" spans="2:12" hidden="1" x14ac:dyDescent="0.2"/>
    <row r="111" spans="2:12" hidden="1" x14ac:dyDescent="0.2"/>
    <row r="112" spans="2:12" hidden="1" x14ac:dyDescent="0.2">
      <c r="C112" s="11" t="s">
        <v>73</v>
      </c>
      <c r="D112" s="11">
        <f>L90/L8</f>
        <v>2.8708318042039456</v>
      </c>
    </row>
    <row r="113" spans="2:6" x14ac:dyDescent="0.2">
      <c r="B113" s="10"/>
      <c r="C113" s="11"/>
      <c r="F113" s="15"/>
    </row>
    <row r="116" spans="2:6" x14ac:dyDescent="0.2">
      <c r="B116" s="15"/>
    </row>
    <row r="117" spans="2:6" x14ac:dyDescent="0.2">
      <c r="B117" s="15"/>
    </row>
  </sheetData>
  <mergeCells count="130">
    <mergeCell ref="B6:L6"/>
    <mergeCell ref="C7:J7"/>
    <mergeCell ref="C8:J8"/>
    <mergeCell ref="C34:J34"/>
    <mergeCell ref="C21:J21"/>
    <mergeCell ref="C22:J22"/>
    <mergeCell ref="C24:J24"/>
    <mergeCell ref="C25:J25"/>
    <mergeCell ref="C26:J26"/>
    <mergeCell ref="C27:J27"/>
    <mergeCell ref="C16:J16"/>
    <mergeCell ref="C23:J23"/>
    <mergeCell ref="D9:J9"/>
    <mergeCell ref="B11:K11"/>
    <mergeCell ref="B13:L13"/>
    <mergeCell ref="B14:J14"/>
    <mergeCell ref="C15:J15"/>
    <mergeCell ref="B17:J17"/>
    <mergeCell ref="B18:L18"/>
    <mergeCell ref="B19:J19"/>
    <mergeCell ref="C20:J20"/>
    <mergeCell ref="C45:J45"/>
    <mergeCell ref="C46:J46"/>
    <mergeCell ref="B51:J51"/>
    <mergeCell ref="B28:J28"/>
    <mergeCell ref="B29:L29"/>
    <mergeCell ref="B30:J30"/>
    <mergeCell ref="D32:E32"/>
    <mergeCell ref="H32:I32"/>
    <mergeCell ref="C33:J33"/>
    <mergeCell ref="B35:K35"/>
    <mergeCell ref="B36:L36"/>
    <mergeCell ref="B37:L37"/>
    <mergeCell ref="B38:K38"/>
    <mergeCell ref="C39:K39"/>
    <mergeCell ref="C41:K41"/>
    <mergeCell ref="C40:K40"/>
    <mergeCell ref="B42:K42"/>
    <mergeCell ref="B43:L43"/>
    <mergeCell ref="B44:L44"/>
    <mergeCell ref="C47:J47"/>
    <mergeCell ref="C48:J48"/>
    <mergeCell ref="C49:J49"/>
    <mergeCell ref="C50:J50"/>
    <mergeCell ref="C105:K105"/>
    <mergeCell ref="B95:C95"/>
    <mergeCell ref="D95:E95"/>
    <mergeCell ref="F95:G95"/>
    <mergeCell ref="B96:C96"/>
    <mergeCell ref="D96:E96"/>
    <mergeCell ref="F96:G96"/>
    <mergeCell ref="B97:C97"/>
    <mergeCell ref="D97:E97"/>
    <mergeCell ref="F97:G97"/>
    <mergeCell ref="B98:C98"/>
    <mergeCell ref="D98:E98"/>
    <mergeCell ref="F98:G98"/>
    <mergeCell ref="B99:C99"/>
    <mergeCell ref="D99:E99"/>
    <mergeCell ref="F99:G99"/>
    <mergeCell ref="C102:J102"/>
    <mergeCell ref="B103:L103"/>
    <mergeCell ref="C78:J78"/>
    <mergeCell ref="C74:J74"/>
    <mergeCell ref="C75:J75"/>
    <mergeCell ref="C76:J76"/>
    <mergeCell ref="B70:L70"/>
    <mergeCell ref="B71:L71"/>
    <mergeCell ref="C72:J72"/>
    <mergeCell ref="C73:J73"/>
    <mergeCell ref="C104:K104"/>
    <mergeCell ref="C92:J92"/>
    <mergeCell ref="C87:K87"/>
    <mergeCell ref="C88:K88"/>
    <mergeCell ref="C89:K89"/>
    <mergeCell ref="B90:K90"/>
    <mergeCell ref="B93:C93"/>
    <mergeCell ref="D93:E93"/>
    <mergeCell ref="F93:G93"/>
    <mergeCell ref="B94:C94"/>
    <mergeCell ref="D94:E94"/>
    <mergeCell ref="F94:G94"/>
    <mergeCell ref="C106:K106"/>
    <mergeCell ref="C107:K107"/>
    <mergeCell ref="B108:K108"/>
    <mergeCell ref="C10:J10"/>
    <mergeCell ref="B57:K57"/>
    <mergeCell ref="D63:F63"/>
    <mergeCell ref="I63:J63"/>
    <mergeCell ref="D64:F64"/>
    <mergeCell ref="I64:J64"/>
    <mergeCell ref="D65:F65"/>
    <mergeCell ref="I65:J65"/>
    <mergeCell ref="D66:F66"/>
    <mergeCell ref="I66:J66"/>
    <mergeCell ref="D67:F67"/>
    <mergeCell ref="B12:L12"/>
    <mergeCell ref="B79:J79"/>
    <mergeCell ref="C80:L80"/>
    <mergeCell ref="B81:L81"/>
    <mergeCell ref="B82:K82"/>
    <mergeCell ref="C83:K83"/>
    <mergeCell ref="C84:K84"/>
    <mergeCell ref="C85:K85"/>
    <mergeCell ref="I67:J67"/>
    <mergeCell ref="C77:J77"/>
    <mergeCell ref="B4:C4"/>
    <mergeCell ref="D4:L4"/>
    <mergeCell ref="B5:C5"/>
    <mergeCell ref="D5:L5"/>
    <mergeCell ref="B2:L2"/>
    <mergeCell ref="B1:L1"/>
    <mergeCell ref="B3:C3"/>
    <mergeCell ref="D3:L3"/>
    <mergeCell ref="B100:K100"/>
    <mergeCell ref="C86:K86"/>
    <mergeCell ref="B52:L52"/>
    <mergeCell ref="B53:L53"/>
    <mergeCell ref="B54:J54"/>
    <mergeCell ref="C55:J55"/>
    <mergeCell ref="C56:J56"/>
    <mergeCell ref="D68:F68"/>
    <mergeCell ref="I68:J68"/>
    <mergeCell ref="B69:J69"/>
    <mergeCell ref="B58:L58"/>
    <mergeCell ref="B59:L59"/>
    <mergeCell ref="C60:J60"/>
    <mergeCell ref="C61:J61"/>
    <mergeCell ref="D62:F62"/>
    <mergeCell ref="I62:J62"/>
  </mergeCells>
  <pageMargins left="0.39370078740157483" right="0.39370078740157483" top="0.39370078740157483" bottom="0.39370078740157483" header="0.39370078740157483" footer="0.3937007874015748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O118"/>
  <sheetViews>
    <sheetView topLeftCell="A13" zoomScaleNormal="100" workbookViewId="0">
      <selection activeCell="L21" sqref="L21:L27"/>
    </sheetView>
  </sheetViews>
  <sheetFormatPr defaultRowHeight="12.75" x14ac:dyDescent="0.2"/>
  <cols>
    <col min="2" max="2" width="3.42578125" customWidth="1"/>
    <col min="3" max="3" width="51.85546875" customWidth="1"/>
    <col min="4" max="4" width="6.7109375" bestFit="1" customWidth="1"/>
    <col min="5" max="5" width="6.140625" bestFit="1" customWidth="1"/>
    <col min="6" max="6" width="16.42578125" customWidth="1"/>
    <col min="7" max="7" width="14.28515625" customWidth="1"/>
    <col min="8" max="8" width="16.85546875" customWidth="1"/>
    <col min="9" max="9" width="8.7109375" customWidth="1"/>
    <col min="10" max="10" width="26.140625" customWidth="1"/>
    <col min="11" max="11" width="9.28515625" bestFit="1" customWidth="1"/>
    <col min="12" max="12" width="13.85546875" bestFit="1" customWidth="1"/>
    <col min="13" max="13" width="15.28515625" customWidth="1"/>
    <col min="14" max="14" width="36" customWidth="1"/>
    <col min="15" max="15" width="15.85546875" customWidth="1"/>
    <col min="16" max="16" width="9.5703125" bestFit="1" customWidth="1"/>
  </cols>
  <sheetData>
    <row r="1" spans="2:14" ht="36" customHeight="1" x14ac:dyDescent="0.2">
      <c r="B1" s="101" t="s">
        <v>146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2:14" ht="20.25" x14ac:dyDescent="0.3">
      <c r="B2" s="98" t="s">
        <v>155</v>
      </c>
      <c r="C2" s="99"/>
      <c r="D2" s="99"/>
      <c r="E2" s="99"/>
      <c r="F2" s="99"/>
      <c r="G2" s="99"/>
      <c r="H2" s="99"/>
      <c r="I2" s="99"/>
      <c r="J2" s="99"/>
      <c r="K2" s="99"/>
      <c r="L2" s="100"/>
    </row>
    <row r="3" spans="2:14" ht="18" x14ac:dyDescent="0.25">
      <c r="B3" s="94" t="s">
        <v>147</v>
      </c>
      <c r="C3" s="95"/>
      <c r="D3" s="94" t="s">
        <v>114</v>
      </c>
      <c r="E3" s="96"/>
      <c r="F3" s="96"/>
      <c r="G3" s="96"/>
      <c r="H3" s="96"/>
      <c r="I3" s="96"/>
      <c r="J3" s="96"/>
      <c r="K3" s="96"/>
      <c r="L3" s="96"/>
    </row>
    <row r="4" spans="2:14" ht="18" x14ac:dyDescent="0.25">
      <c r="B4" s="94" t="s">
        <v>151</v>
      </c>
      <c r="C4" s="95"/>
      <c r="D4" s="94">
        <v>517330</v>
      </c>
      <c r="E4" s="96"/>
      <c r="F4" s="96"/>
      <c r="G4" s="96"/>
      <c r="H4" s="96"/>
      <c r="I4" s="96"/>
      <c r="J4" s="96"/>
      <c r="K4" s="96"/>
      <c r="L4" s="95"/>
    </row>
    <row r="5" spans="2:14" ht="18" x14ac:dyDescent="0.25">
      <c r="B5" s="94" t="s">
        <v>152</v>
      </c>
      <c r="C5" s="95"/>
      <c r="D5" s="97">
        <v>45689</v>
      </c>
      <c r="E5" s="96"/>
      <c r="F5" s="96"/>
      <c r="G5" s="96"/>
      <c r="H5" s="96"/>
      <c r="I5" s="96"/>
      <c r="J5" s="96"/>
      <c r="K5" s="96"/>
      <c r="L5" s="95"/>
    </row>
    <row r="6" spans="2:14" x14ac:dyDescent="0.2">
      <c r="B6" s="152" t="s">
        <v>19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</row>
    <row r="7" spans="2:14" x14ac:dyDescent="0.2">
      <c r="B7" s="12">
        <v>1</v>
      </c>
      <c r="C7" s="108" t="s">
        <v>12</v>
      </c>
      <c r="D7" s="108"/>
      <c r="E7" s="108"/>
      <c r="F7" s="108"/>
      <c r="G7" s="108"/>
      <c r="H7" s="108"/>
      <c r="I7" s="108"/>
      <c r="J7" s="108"/>
      <c r="K7" s="12" t="s">
        <v>2</v>
      </c>
      <c r="L7" s="12" t="s">
        <v>1</v>
      </c>
    </row>
    <row r="8" spans="2:14" x14ac:dyDescent="0.2">
      <c r="B8" s="12" t="s">
        <v>4</v>
      </c>
      <c r="C8" s="119" t="s">
        <v>117</v>
      </c>
      <c r="D8" s="153"/>
      <c r="E8" s="153"/>
      <c r="F8" s="153"/>
      <c r="G8" s="153"/>
      <c r="H8" s="153"/>
      <c r="I8" s="153"/>
      <c r="J8" s="153"/>
      <c r="K8" s="39"/>
      <c r="L8" s="40">
        <f>'Vigilante diurno 5x2'!L8</f>
        <v>2370.63</v>
      </c>
    </row>
    <row r="9" spans="2:14" x14ac:dyDescent="0.2">
      <c r="B9" s="12" t="s">
        <v>5</v>
      </c>
      <c r="C9" s="41" t="s">
        <v>116</v>
      </c>
      <c r="D9" s="110" t="s">
        <v>106</v>
      </c>
      <c r="E9" s="111"/>
      <c r="F9" s="111"/>
      <c r="G9" s="111"/>
      <c r="H9" s="111"/>
      <c r="I9" s="111"/>
      <c r="J9" s="112"/>
      <c r="K9" s="22">
        <v>0.3</v>
      </c>
      <c r="L9" s="43">
        <f>ROUND(L8*K9,2)</f>
        <v>711.19</v>
      </c>
    </row>
    <row r="10" spans="2:14" x14ac:dyDescent="0.2">
      <c r="B10" s="12" t="s">
        <v>6</v>
      </c>
      <c r="C10" s="109" t="s">
        <v>178</v>
      </c>
      <c r="D10" s="109"/>
      <c r="E10" s="109"/>
      <c r="F10" s="109"/>
      <c r="G10" s="109"/>
      <c r="H10" s="109"/>
      <c r="I10" s="109"/>
      <c r="J10" s="109"/>
      <c r="K10" s="44">
        <f>(0.5/220*15*150)%</f>
        <v>5.1136363636363633E-2</v>
      </c>
      <c r="L10" s="45">
        <f>(L8+L9)*K10</f>
        <v>157.59306818181818</v>
      </c>
    </row>
    <row r="11" spans="2:14" x14ac:dyDescent="0.2">
      <c r="B11" s="12" t="s">
        <v>7</v>
      </c>
      <c r="C11" s="39" t="s">
        <v>177</v>
      </c>
      <c r="D11" s="78" t="s">
        <v>107</v>
      </c>
      <c r="E11" s="78">
        <v>220</v>
      </c>
      <c r="F11" s="78" t="s">
        <v>108</v>
      </c>
      <c r="G11" s="79">
        <v>7</v>
      </c>
      <c r="H11" t="s">
        <v>109</v>
      </c>
      <c r="I11" s="80">
        <v>15</v>
      </c>
      <c r="J11" s="42" t="s">
        <v>110</v>
      </c>
      <c r="K11" s="14">
        <v>0.2</v>
      </c>
      <c r="L11" s="43">
        <f>ROUND((L8+L9)/E11*G11*I11*K11,2)</f>
        <v>294.17</v>
      </c>
      <c r="M11" s="43"/>
      <c r="N11" s="17"/>
    </row>
    <row r="12" spans="2:14" x14ac:dyDescent="0.2">
      <c r="B12" s="118" t="s">
        <v>60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8">
        <f>ROUND(SUM(L8:L11),2)</f>
        <v>3533.58</v>
      </c>
    </row>
    <row r="13" spans="2:14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2"/>
    </row>
    <row r="14" spans="2:14" x14ac:dyDescent="0.2">
      <c r="B14" s="118" t="s">
        <v>46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2:14" x14ac:dyDescent="0.2">
      <c r="B15" s="158" t="s">
        <v>82</v>
      </c>
      <c r="C15" s="158"/>
      <c r="D15" s="158"/>
      <c r="E15" s="158"/>
      <c r="F15" s="158"/>
      <c r="G15" s="158"/>
      <c r="H15" s="158"/>
      <c r="I15" s="158"/>
      <c r="J15" s="158"/>
      <c r="K15" s="21" t="s">
        <v>2</v>
      </c>
      <c r="L15" s="21" t="s">
        <v>1</v>
      </c>
    </row>
    <row r="16" spans="2:14" x14ac:dyDescent="0.2">
      <c r="B16" s="12" t="s">
        <v>4</v>
      </c>
      <c r="C16" s="119" t="s">
        <v>118</v>
      </c>
      <c r="D16" s="119"/>
      <c r="E16" s="119"/>
      <c r="F16" s="119"/>
      <c r="G16" s="119"/>
      <c r="H16" s="119"/>
      <c r="I16" s="119"/>
      <c r="J16" s="119"/>
      <c r="K16" s="44">
        <v>8.3299999999999999E-2</v>
      </c>
      <c r="L16" s="45">
        <f>ROUND(($L$12-L10)*K16,2)</f>
        <v>281.22000000000003</v>
      </c>
      <c r="M16" s="46"/>
    </row>
    <row r="17" spans="2:15" x14ac:dyDescent="0.2">
      <c r="B17" s="12" t="s">
        <v>5</v>
      </c>
      <c r="C17" s="119" t="s">
        <v>119</v>
      </c>
      <c r="D17" s="119"/>
      <c r="E17" s="119"/>
      <c r="F17" s="119"/>
      <c r="G17" s="119"/>
      <c r="H17" s="119"/>
      <c r="I17" s="119"/>
      <c r="J17" s="119"/>
      <c r="K17" s="47">
        <f>K16/3</f>
        <v>2.7766666666666665E-2</v>
      </c>
      <c r="L17" s="45">
        <f>ROUND(K17*(L12-L10),2)</f>
        <v>93.74</v>
      </c>
      <c r="M17" s="46"/>
    </row>
    <row r="18" spans="2:15" x14ac:dyDescent="0.2">
      <c r="B18" s="159" t="s">
        <v>75</v>
      </c>
      <c r="C18" s="118"/>
      <c r="D18" s="118"/>
      <c r="E18" s="118"/>
      <c r="F18" s="118"/>
      <c r="G18" s="118"/>
      <c r="H18" s="118"/>
      <c r="I18" s="118"/>
      <c r="J18" s="118"/>
      <c r="K18" s="19">
        <f>TRUNC(SUM(K16:K17),4)</f>
        <v>0.111</v>
      </c>
      <c r="L18" s="18">
        <f>ROUND(SUM(L16:L17),2)</f>
        <v>374.96</v>
      </c>
      <c r="M18" s="48"/>
    </row>
    <row r="19" spans="2:15" x14ac:dyDescent="0.2">
      <c r="B19" s="154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48"/>
    </row>
    <row r="20" spans="2:15" x14ac:dyDescent="0.2">
      <c r="B20" s="156" t="s">
        <v>101</v>
      </c>
      <c r="C20" s="156"/>
      <c r="D20" s="156"/>
      <c r="E20" s="156"/>
      <c r="F20" s="156"/>
      <c r="G20" s="156"/>
      <c r="H20" s="156"/>
      <c r="I20" s="156"/>
      <c r="J20" s="156"/>
      <c r="K20" s="21" t="s">
        <v>2</v>
      </c>
      <c r="L20" s="21" t="s">
        <v>1</v>
      </c>
      <c r="M20" s="48"/>
      <c r="O20" s="49"/>
    </row>
    <row r="21" spans="2:15" x14ac:dyDescent="0.2">
      <c r="B21" s="12" t="s">
        <v>4</v>
      </c>
      <c r="C21" s="119" t="s">
        <v>76</v>
      </c>
      <c r="D21" s="119"/>
      <c r="E21" s="119"/>
      <c r="F21" s="119"/>
      <c r="G21" s="119"/>
      <c r="H21" s="119"/>
      <c r="I21" s="119"/>
      <c r="J21" s="119"/>
      <c r="K21" s="44">
        <v>0.2</v>
      </c>
      <c r="L21" s="193">
        <f>ROUND(K21*(($L$12)+$L$18),2)</f>
        <v>781.71</v>
      </c>
      <c r="M21" s="48"/>
      <c r="N21" s="50"/>
      <c r="O21" s="49"/>
    </row>
    <row r="22" spans="2:15" x14ac:dyDescent="0.2">
      <c r="B22" s="12" t="s">
        <v>5</v>
      </c>
      <c r="C22" s="153" t="s">
        <v>120</v>
      </c>
      <c r="D22" s="153"/>
      <c r="E22" s="119"/>
      <c r="F22" s="119"/>
      <c r="G22" s="119"/>
      <c r="H22" s="119"/>
      <c r="I22" s="119"/>
      <c r="J22" s="119"/>
      <c r="K22" s="44">
        <v>2.5000000000000001E-2</v>
      </c>
      <c r="L22" s="193">
        <f t="shared" ref="L22:L27" si="0">ROUND(K22*(($L$12)+$L$18),2)</f>
        <v>97.71</v>
      </c>
      <c r="M22" s="48"/>
    </row>
    <row r="23" spans="2:15" x14ac:dyDescent="0.2">
      <c r="B23" s="20" t="s">
        <v>6</v>
      </c>
      <c r="C23" s="160" t="s">
        <v>103</v>
      </c>
      <c r="D23" s="161"/>
      <c r="E23" s="161"/>
      <c r="F23" s="161"/>
      <c r="G23" s="161"/>
      <c r="H23" s="161"/>
      <c r="I23" s="161"/>
      <c r="J23" s="162"/>
      <c r="K23" s="22">
        <v>1.4999999999999999E-2</v>
      </c>
      <c r="L23" s="193">
        <f t="shared" si="0"/>
        <v>58.63</v>
      </c>
      <c r="M23" s="48"/>
    </row>
    <row r="24" spans="2:15" x14ac:dyDescent="0.2">
      <c r="B24" s="12" t="s">
        <v>7</v>
      </c>
      <c r="C24" s="157" t="s">
        <v>47</v>
      </c>
      <c r="D24" s="157"/>
      <c r="E24" s="119"/>
      <c r="F24" s="119"/>
      <c r="G24" s="119"/>
      <c r="H24" s="119"/>
      <c r="I24" s="119"/>
      <c r="J24" s="119"/>
      <c r="K24" s="44">
        <v>1.4999999999999999E-2</v>
      </c>
      <c r="L24" s="193">
        <f t="shared" si="0"/>
        <v>58.63</v>
      </c>
      <c r="M24" s="48"/>
      <c r="N24" s="50"/>
    </row>
    <row r="25" spans="2:15" x14ac:dyDescent="0.2">
      <c r="B25" s="12" t="s">
        <v>8</v>
      </c>
      <c r="C25" s="119" t="s">
        <v>48</v>
      </c>
      <c r="D25" s="119"/>
      <c r="E25" s="119"/>
      <c r="F25" s="119"/>
      <c r="G25" s="119"/>
      <c r="H25" s="119"/>
      <c r="I25" s="119"/>
      <c r="J25" s="119"/>
      <c r="K25" s="44">
        <v>0.01</v>
      </c>
      <c r="L25" s="193">
        <f t="shared" si="0"/>
        <v>39.090000000000003</v>
      </c>
      <c r="M25" s="48"/>
      <c r="N25" s="50"/>
    </row>
    <row r="26" spans="2:15" x14ac:dyDescent="0.2">
      <c r="B26" s="12" t="s">
        <v>9</v>
      </c>
      <c r="C26" s="119" t="s">
        <v>49</v>
      </c>
      <c r="D26" s="119"/>
      <c r="E26" s="119"/>
      <c r="F26" s="119"/>
      <c r="G26" s="119"/>
      <c r="H26" s="119"/>
      <c r="I26" s="119"/>
      <c r="J26" s="119"/>
      <c r="K26" s="44">
        <v>6.0000000000000001E-3</v>
      </c>
      <c r="L26" s="193">
        <f t="shared" si="0"/>
        <v>23.45</v>
      </c>
      <c r="M26" s="48"/>
      <c r="N26" s="50"/>
    </row>
    <row r="27" spans="2:15" x14ac:dyDescent="0.2">
      <c r="B27" s="12" t="s">
        <v>10</v>
      </c>
      <c r="C27" s="119" t="s">
        <v>50</v>
      </c>
      <c r="D27" s="119"/>
      <c r="E27" s="119"/>
      <c r="F27" s="119"/>
      <c r="G27" s="119"/>
      <c r="H27" s="119"/>
      <c r="I27" s="119"/>
      <c r="J27" s="119"/>
      <c r="K27" s="44">
        <v>2E-3</v>
      </c>
      <c r="L27" s="193">
        <f t="shared" si="0"/>
        <v>7.82</v>
      </c>
      <c r="M27" s="48"/>
      <c r="N27" s="50"/>
    </row>
    <row r="28" spans="2:15" x14ac:dyDescent="0.2">
      <c r="B28" s="12" t="s">
        <v>11</v>
      </c>
      <c r="C28" s="119" t="s">
        <v>51</v>
      </c>
      <c r="D28" s="119"/>
      <c r="E28" s="119"/>
      <c r="F28" s="119"/>
      <c r="G28" s="119"/>
      <c r="H28" s="119"/>
      <c r="I28" s="119"/>
      <c r="J28" s="119"/>
      <c r="K28" s="44">
        <v>0.08</v>
      </c>
      <c r="L28" s="45">
        <f t="shared" ref="L22:L28" si="1">ROUND(K28*(($L$12-L$10)+$L$18),2)</f>
        <v>300.08</v>
      </c>
      <c r="M28" s="48"/>
      <c r="N28" s="50"/>
    </row>
    <row r="29" spans="2:15" x14ac:dyDescent="0.2">
      <c r="B29" s="108" t="s">
        <v>52</v>
      </c>
      <c r="C29" s="108"/>
      <c r="D29" s="108"/>
      <c r="E29" s="108"/>
      <c r="F29" s="108"/>
      <c r="G29" s="108"/>
      <c r="H29" s="108"/>
      <c r="I29" s="108"/>
      <c r="J29" s="108"/>
      <c r="K29" s="3">
        <f>SUM(K21:K28)</f>
        <v>0.35300000000000004</v>
      </c>
      <c r="L29" s="13">
        <f>ROUND(SUM(L21:L28),2)</f>
        <v>1367.12</v>
      </c>
      <c r="N29" s="50"/>
    </row>
    <row r="30" spans="2:15" x14ac:dyDescent="0.2"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1"/>
      <c r="N30" s="50"/>
    </row>
    <row r="31" spans="2:15" x14ac:dyDescent="0.2">
      <c r="B31" s="156" t="s">
        <v>53</v>
      </c>
      <c r="C31" s="156"/>
      <c r="D31" s="156"/>
      <c r="E31" s="156"/>
      <c r="F31" s="156"/>
      <c r="G31" s="156"/>
      <c r="H31" s="156"/>
      <c r="I31" s="156"/>
      <c r="J31" s="156"/>
      <c r="K31" s="3"/>
      <c r="L31" s="12" t="s">
        <v>1</v>
      </c>
      <c r="N31" s="50"/>
    </row>
    <row r="32" spans="2:15" x14ac:dyDescent="0.2">
      <c r="B32" s="12" t="s">
        <v>4</v>
      </c>
      <c r="C32" s="82" t="s">
        <v>121</v>
      </c>
      <c r="D32" s="39" t="s">
        <v>77</v>
      </c>
      <c r="E32" s="39">
        <v>15</v>
      </c>
      <c r="F32" s="39" t="s">
        <v>78</v>
      </c>
      <c r="G32" s="51">
        <v>2</v>
      </c>
      <c r="H32" s="39" t="s">
        <v>79</v>
      </c>
      <c r="I32" s="52">
        <v>4.8</v>
      </c>
      <c r="J32" s="39"/>
      <c r="K32" s="53" t="s">
        <v>0</v>
      </c>
      <c r="L32" s="54">
        <f>ROUND((E32*G32*I32)-(L8*0.06),2)</f>
        <v>1.76</v>
      </c>
      <c r="N32" s="50"/>
    </row>
    <row r="33" spans="2:14" x14ac:dyDescent="0.2">
      <c r="B33" s="12" t="s">
        <v>5</v>
      </c>
      <c r="C33" s="41" t="s">
        <v>122</v>
      </c>
      <c r="D33" s="110" t="s">
        <v>80</v>
      </c>
      <c r="E33" s="112"/>
      <c r="F33" s="51">
        <v>781.35</v>
      </c>
      <c r="G33" s="55" t="s">
        <v>81</v>
      </c>
      <c r="H33" s="113">
        <v>0.2</v>
      </c>
      <c r="I33" s="114"/>
      <c r="J33" s="39"/>
      <c r="K33" s="53" t="s">
        <v>0</v>
      </c>
      <c r="L33" s="54">
        <f>ROUND(F33*(100%-H33),2)</f>
        <v>625.08000000000004</v>
      </c>
      <c r="M33" s="17"/>
    </row>
    <row r="34" spans="2:14" x14ac:dyDescent="0.2">
      <c r="B34" s="12" t="s">
        <v>6</v>
      </c>
      <c r="C34" s="104" t="s">
        <v>123</v>
      </c>
      <c r="D34" s="105"/>
      <c r="E34" s="105"/>
      <c r="F34" s="105"/>
      <c r="G34" s="105"/>
      <c r="H34" s="105"/>
      <c r="I34" s="105"/>
      <c r="J34" s="106"/>
      <c r="K34" s="53" t="s">
        <v>0</v>
      </c>
      <c r="L34" s="56">
        <f>'Vigilante diurno 5x2'!L32</f>
        <v>120.52</v>
      </c>
    </row>
    <row r="35" spans="2:14" x14ac:dyDescent="0.2">
      <c r="B35" s="12" t="s">
        <v>7</v>
      </c>
      <c r="C35" s="107" t="s">
        <v>111</v>
      </c>
      <c r="D35" s="107"/>
      <c r="E35" s="107"/>
      <c r="F35" s="107"/>
      <c r="G35" s="107"/>
      <c r="H35" s="107"/>
      <c r="I35" s="107"/>
      <c r="J35" s="107"/>
      <c r="K35" s="53" t="s">
        <v>0</v>
      </c>
      <c r="L35" s="56">
        <v>13.74</v>
      </c>
    </row>
    <row r="36" spans="2:14" x14ac:dyDescent="0.2">
      <c r="B36" s="108" t="s">
        <v>54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3">
        <f>ROUND(SUM(L32:L35),2)</f>
        <v>761.1</v>
      </c>
    </row>
    <row r="37" spans="2:14" x14ac:dyDescent="0.2"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1"/>
    </row>
    <row r="38" spans="2:14" x14ac:dyDescent="0.2">
      <c r="B38" s="115" t="s">
        <v>55</v>
      </c>
      <c r="C38" s="115"/>
      <c r="D38" s="115"/>
      <c r="E38" s="115"/>
      <c r="F38" s="115"/>
      <c r="G38" s="115"/>
      <c r="H38" s="115"/>
      <c r="I38" s="115"/>
      <c r="J38" s="115"/>
      <c r="K38" s="115"/>
      <c r="L38" s="115"/>
    </row>
    <row r="39" spans="2:14" x14ac:dyDescent="0.2"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2" t="s">
        <v>1</v>
      </c>
    </row>
    <row r="40" spans="2:14" x14ac:dyDescent="0.2">
      <c r="B40" s="12" t="s">
        <v>56</v>
      </c>
      <c r="C40" s="109" t="s">
        <v>128</v>
      </c>
      <c r="D40" s="109"/>
      <c r="E40" s="109"/>
      <c r="F40" s="109"/>
      <c r="G40" s="109"/>
      <c r="H40" s="109"/>
      <c r="I40" s="109"/>
      <c r="J40" s="109"/>
      <c r="K40" s="109"/>
      <c r="L40" s="45">
        <f>L18</f>
        <v>374.96</v>
      </c>
    </row>
    <row r="41" spans="2:14" x14ac:dyDescent="0.2">
      <c r="B41" s="12" t="s">
        <v>57</v>
      </c>
      <c r="C41" s="109" t="s">
        <v>102</v>
      </c>
      <c r="D41" s="109"/>
      <c r="E41" s="109"/>
      <c r="F41" s="109"/>
      <c r="G41" s="109"/>
      <c r="H41" s="109"/>
      <c r="I41" s="109"/>
      <c r="J41" s="109"/>
      <c r="K41" s="109"/>
      <c r="L41" s="45">
        <f>L29</f>
        <v>1367.12</v>
      </c>
    </row>
    <row r="42" spans="2:14" x14ac:dyDescent="0.2">
      <c r="B42" s="12" t="s">
        <v>58</v>
      </c>
      <c r="C42" s="109" t="s">
        <v>129</v>
      </c>
      <c r="D42" s="109"/>
      <c r="E42" s="109"/>
      <c r="F42" s="109"/>
      <c r="G42" s="109"/>
      <c r="H42" s="109"/>
      <c r="I42" s="109"/>
      <c r="J42" s="109"/>
      <c r="K42" s="109"/>
      <c r="L42" s="45">
        <f>L36</f>
        <v>761.1</v>
      </c>
    </row>
    <row r="43" spans="2:14" x14ac:dyDescent="0.2">
      <c r="B43" s="108" t="s">
        <v>61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3">
        <f>ROUND(SUM(L40:L42),2)</f>
        <v>2503.1799999999998</v>
      </c>
    </row>
    <row r="44" spans="2:14" x14ac:dyDescent="0.2">
      <c r="B44" s="116"/>
      <c r="C44" s="117"/>
      <c r="D44" s="117"/>
      <c r="E44" s="117"/>
      <c r="F44" s="117"/>
      <c r="G44" s="117"/>
      <c r="H44" s="117"/>
      <c r="I44" s="117"/>
      <c r="J44" s="117"/>
      <c r="K44" s="117"/>
      <c r="L44" s="117"/>
    </row>
    <row r="45" spans="2:14" x14ac:dyDescent="0.2">
      <c r="B45" s="118" t="s">
        <v>62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</row>
    <row r="46" spans="2:14" x14ac:dyDescent="0.2">
      <c r="B46" s="12">
        <v>3</v>
      </c>
      <c r="C46" s="108" t="s">
        <v>63</v>
      </c>
      <c r="D46" s="108"/>
      <c r="E46" s="108"/>
      <c r="F46" s="108"/>
      <c r="G46" s="108"/>
      <c r="H46" s="108"/>
      <c r="I46" s="108"/>
      <c r="J46" s="108"/>
      <c r="K46" s="12" t="s">
        <v>2</v>
      </c>
      <c r="L46" s="12" t="s">
        <v>1</v>
      </c>
    </row>
    <row r="47" spans="2:14" ht="12.75" customHeight="1" x14ac:dyDescent="0.2">
      <c r="B47" s="12" t="s">
        <v>4</v>
      </c>
      <c r="C47" s="119" t="str">
        <f>'Vigilante diurno 5x2'!C45:J45</f>
        <v>Aviso prévio indenizado (Estimativa de que 5% (cinco por cento) dos empregados serão substituídos durante um ano)</v>
      </c>
      <c r="D47" s="119"/>
      <c r="E47" s="119"/>
      <c r="F47" s="119"/>
      <c r="G47" s="119"/>
      <c r="H47" s="119"/>
      <c r="I47" s="119"/>
      <c r="J47" s="119"/>
      <c r="K47" s="44">
        <f>'Vigilante diurno 12x36'!K46</f>
        <v>4.1666666666666666E-3</v>
      </c>
      <c r="L47" s="45">
        <f>ROUND($L$12*K47,2)</f>
        <v>14.72</v>
      </c>
      <c r="M47" s="46"/>
      <c r="N47" s="23"/>
    </row>
    <row r="48" spans="2:14" x14ac:dyDescent="0.2">
      <c r="B48" s="12" t="s">
        <v>5</v>
      </c>
      <c r="C48" s="119" t="str">
        <f>'Vigilante diurno 5x2'!C46:J46</f>
        <v>Incidência do FGTS sobre aviso prévio indenizado</v>
      </c>
      <c r="D48" s="119"/>
      <c r="E48" s="119"/>
      <c r="F48" s="119"/>
      <c r="G48" s="119"/>
      <c r="H48" s="119"/>
      <c r="I48" s="119"/>
      <c r="J48" s="119"/>
      <c r="K48" s="57">
        <f>0.08*K47</f>
        <v>3.3333333333333332E-4</v>
      </c>
      <c r="L48" s="45">
        <f>ROUND(K48*L12,2)</f>
        <v>1.18</v>
      </c>
      <c r="N48" s="23"/>
    </row>
    <row r="49" spans="2:14" x14ac:dyDescent="0.2">
      <c r="B49" s="12" t="s">
        <v>6</v>
      </c>
      <c r="C49" s="119" t="str">
        <f>'Vigilante diurno 5x2'!C47:J47</f>
        <v xml:space="preserve">Aviso prévio trabalhado </v>
      </c>
      <c r="D49" s="119"/>
      <c r="E49" s="119"/>
      <c r="F49" s="119"/>
      <c r="G49" s="119"/>
      <c r="H49" s="119"/>
      <c r="I49" s="119"/>
      <c r="J49" s="119"/>
      <c r="K49" s="44">
        <f>(100/30*7/12)%</f>
        <v>1.9444444444444445E-2</v>
      </c>
      <c r="L49" s="45">
        <f>ROUND($L$12*K49,2)</f>
        <v>68.709999999999994</v>
      </c>
      <c r="N49" s="48"/>
    </row>
    <row r="50" spans="2:14" x14ac:dyDescent="0.2">
      <c r="B50" s="12" t="s">
        <v>7</v>
      </c>
      <c r="C50" s="119" t="str">
        <f>'Vigilante diurno 5x2'!C48:J48</f>
        <v>Incidência dos encargos do submódulo 2.2 sobre aviso prévio trabalhado</v>
      </c>
      <c r="D50" s="119"/>
      <c r="E50" s="119"/>
      <c r="F50" s="119"/>
      <c r="G50" s="119"/>
      <c r="H50" s="119"/>
      <c r="I50" s="119"/>
      <c r="J50" s="119"/>
      <c r="K50" s="47">
        <f>K29*K49</f>
        <v>6.8638888888888899E-3</v>
      </c>
      <c r="L50" s="45">
        <f>ROUND(L49*K29,2)</f>
        <v>24.25</v>
      </c>
    </row>
    <row r="51" spans="2:14" x14ac:dyDescent="0.2">
      <c r="B51" s="12" t="s">
        <v>8</v>
      </c>
      <c r="C51" s="119" t="str">
        <f>'Vigilante diurno 5x2'!C49:J49</f>
        <v>Multa do FGTS sobre a demissão sem justa causa (80% de ocorrência, considerando as outras modalidades de dispensa)</v>
      </c>
      <c r="D51" s="119"/>
      <c r="E51" s="119"/>
      <c r="F51" s="119"/>
      <c r="G51" s="119"/>
      <c r="H51" s="119"/>
      <c r="I51" s="119"/>
      <c r="J51" s="119"/>
      <c r="K51" s="44">
        <f>1*0.08*0.4*0.8</f>
        <v>2.5600000000000001E-2</v>
      </c>
      <c r="L51" s="45">
        <f>ROUND($L$12*K51,2)</f>
        <v>90.46</v>
      </c>
    </row>
    <row r="52" spans="2:14" x14ac:dyDescent="0.2">
      <c r="B52" s="108" t="s">
        <v>64</v>
      </c>
      <c r="C52" s="108"/>
      <c r="D52" s="108"/>
      <c r="E52" s="108"/>
      <c r="F52" s="108"/>
      <c r="G52" s="108"/>
      <c r="H52" s="108"/>
      <c r="I52" s="108"/>
      <c r="J52" s="108"/>
      <c r="K52" s="3">
        <f>ROUND(SUM(K47:K51),4)</f>
        <v>5.6399999999999999E-2</v>
      </c>
      <c r="L52" s="13">
        <f>ROUND(SUM(L47:L51),2)</f>
        <v>199.32</v>
      </c>
    </row>
    <row r="53" spans="2:14" x14ac:dyDescent="0.2">
      <c r="B53" s="127"/>
      <c r="C53" s="128"/>
      <c r="D53" s="128"/>
      <c r="E53" s="128"/>
      <c r="F53" s="128"/>
      <c r="G53" s="128"/>
      <c r="H53" s="128"/>
      <c r="I53" s="128"/>
      <c r="J53" s="128"/>
      <c r="K53" s="128"/>
      <c r="L53" s="128"/>
    </row>
    <row r="54" spans="2:14" x14ac:dyDescent="0.2">
      <c r="B54" s="118" t="s">
        <v>65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</row>
    <row r="55" spans="2:14" x14ac:dyDescent="0.2">
      <c r="B55" s="108" t="s">
        <v>84</v>
      </c>
      <c r="C55" s="108"/>
      <c r="D55" s="108"/>
      <c r="E55" s="108"/>
      <c r="F55" s="108"/>
      <c r="G55" s="108"/>
      <c r="H55" s="108"/>
      <c r="I55" s="108"/>
      <c r="J55" s="108"/>
      <c r="K55" s="12" t="s">
        <v>2</v>
      </c>
      <c r="L55" s="12" t="s">
        <v>1</v>
      </c>
    </row>
    <row r="56" spans="2:14" x14ac:dyDescent="0.2">
      <c r="B56" s="12" t="s">
        <v>4</v>
      </c>
      <c r="C56" s="104" t="s">
        <v>83</v>
      </c>
      <c r="D56" s="105"/>
      <c r="E56" s="105"/>
      <c r="F56" s="105"/>
      <c r="G56" s="105"/>
      <c r="H56" s="105"/>
      <c r="I56" s="105"/>
      <c r="J56" s="106"/>
      <c r="K56" s="44">
        <f>ROUND(L56*1/L12,4)</f>
        <v>0.14360000000000001</v>
      </c>
      <c r="L56" s="45">
        <f>ROUND((L12+L43+L62)/12,2)</f>
        <v>507.51</v>
      </c>
      <c r="M56" s="17"/>
    </row>
    <row r="57" spans="2:14" x14ac:dyDescent="0.2">
      <c r="B57" s="12" t="s">
        <v>5</v>
      </c>
      <c r="C57" s="109" t="s">
        <v>130</v>
      </c>
      <c r="D57" s="109"/>
      <c r="E57" s="109"/>
      <c r="F57" s="109"/>
      <c r="G57" s="109"/>
      <c r="H57" s="109"/>
      <c r="I57" s="109"/>
      <c r="J57" s="109"/>
      <c r="K57" s="44">
        <f>ROUND(L57*1/L12,4)</f>
        <v>9.5999999999999992E-3</v>
      </c>
      <c r="L57" s="45">
        <f>ROUND((L12+L43+L62)/12/15,2)</f>
        <v>33.83</v>
      </c>
    </row>
    <row r="58" spans="2:14" x14ac:dyDescent="0.2">
      <c r="B58" s="127" t="s">
        <v>66</v>
      </c>
      <c r="C58" s="128"/>
      <c r="D58" s="128"/>
      <c r="E58" s="128"/>
      <c r="F58" s="128"/>
      <c r="G58" s="128"/>
      <c r="H58" s="128"/>
      <c r="I58" s="128"/>
      <c r="J58" s="128"/>
      <c r="K58" s="130"/>
      <c r="L58" s="13">
        <f>L56+L57</f>
        <v>541.34</v>
      </c>
    </row>
    <row r="59" spans="2:14" x14ac:dyDescent="0.2">
      <c r="B59" s="127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2:14" x14ac:dyDescent="0.2">
      <c r="B60" s="122" t="s">
        <v>67</v>
      </c>
      <c r="C60" s="123"/>
      <c r="D60" s="123"/>
      <c r="E60" s="123"/>
      <c r="F60" s="123"/>
      <c r="G60" s="123"/>
      <c r="H60" s="123"/>
      <c r="I60" s="123"/>
      <c r="J60" s="123"/>
      <c r="K60" s="123"/>
      <c r="L60" s="124"/>
    </row>
    <row r="61" spans="2:14" x14ac:dyDescent="0.2">
      <c r="B61" s="12">
        <v>5</v>
      </c>
      <c r="C61" s="108" t="s">
        <v>13</v>
      </c>
      <c r="D61" s="108"/>
      <c r="E61" s="108"/>
      <c r="F61" s="108"/>
      <c r="G61" s="108"/>
      <c r="H61" s="108"/>
      <c r="I61" s="108"/>
      <c r="J61" s="108"/>
      <c r="K61" s="12"/>
      <c r="L61" s="12" t="s">
        <v>1</v>
      </c>
    </row>
    <row r="62" spans="2:14" x14ac:dyDescent="0.2">
      <c r="B62" s="12" t="s">
        <v>4</v>
      </c>
      <c r="C62" s="125" t="s">
        <v>115</v>
      </c>
      <c r="D62" s="125"/>
      <c r="E62" s="125"/>
      <c r="F62" s="125"/>
      <c r="G62" s="125"/>
      <c r="H62" s="125"/>
      <c r="I62" s="125"/>
      <c r="J62" s="125"/>
      <c r="K62" s="12" t="s">
        <v>0</v>
      </c>
      <c r="L62" s="29">
        <f>ROUND(SUM(L63:L69),2)</f>
        <v>53.33</v>
      </c>
    </row>
    <row r="63" spans="2:14" ht="69" customHeight="1" x14ac:dyDescent="0.2">
      <c r="B63" s="12"/>
      <c r="C63" s="81" t="s">
        <v>156</v>
      </c>
      <c r="D63" s="126" t="s">
        <v>85</v>
      </c>
      <c r="E63" s="126"/>
      <c r="F63" s="126"/>
      <c r="G63" s="58">
        <v>2</v>
      </c>
      <c r="H63" s="59" t="s">
        <v>86</v>
      </c>
      <c r="I63" s="129">
        <v>120</v>
      </c>
      <c r="J63" s="129"/>
      <c r="K63" s="58"/>
      <c r="L63" s="30">
        <f>ROUND(I63*G63/12,2)</f>
        <v>20</v>
      </c>
    </row>
    <row r="64" spans="2:14" ht="32.25" customHeight="1" x14ac:dyDescent="0.2">
      <c r="B64" s="12"/>
      <c r="C64" s="89" t="s">
        <v>157</v>
      </c>
      <c r="D64" s="126" t="s">
        <v>85</v>
      </c>
      <c r="E64" s="126"/>
      <c r="F64" s="126"/>
      <c r="G64" s="58">
        <v>2</v>
      </c>
      <c r="H64" s="59" t="s">
        <v>86</v>
      </c>
      <c r="I64" s="129">
        <v>45</v>
      </c>
      <c r="J64" s="129"/>
      <c r="K64" s="58"/>
      <c r="L64" s="30">
        <f t="shared" ref="L64:L69" si="2">ROUND(I64*G64/12,2)</f>
        <v>7.5</v>
      </c>
    </row>
    <row r="65" spans="2:14" ht="45" customHeight="1" x14ac:dyDescent="0.2">
      <c r="B65" s="12"/>
      <c r="C65" s="81" t="s">
        <v>158</v>
      </c>
      <c r="D65" s="126" t="s">
        <v>85</v>
      </c>
      <c r="E65" s="126"/>
      <c r="F65" s="126"/>
      <c r="G65" s="58">
        <v>1</v>
      </c>
      <c r="H65" s="59" t="s">
        <v>86</v>
      </c>
      <c r="I65" s="129">
        <v>120</v>
      </c>
      <c r="J65" s="129"/>
      <c r="K65" s="58"/>
      <c r="L65" s="30">
        <f t="shared" si="2"/>
        <v>10</v>
      </c>
    </row>
    <row r="66" spans="2:14" ht="51.75" customHeight="1" x14ac:dyDescent="0.2">
      <c r="B66" s="12"/>
      <c r="C66" s="81" t="s">
        <v>159</v>
      </c>
      <c r="D66" s="126" t="s">
        <v>85</v>
      </c>
      <c r="E66" s="126"/>
      <c r="F66" s="126"/>
      <c r="G66" s="58">
        <v>1</v>
      </c>
      <c r="H66" s="59" t="s">
        <v>86</v>
      </c>
      <c r="I66" s="129">
        <v>10</v>
      </c>
      <c r="J66" s="129"/>
      <c r="K66" s="58"/>
      <c r="L66" s="30">
        <f t="shared" si="2"/>
        <v>0.83</v>
      </c>
    </row>
    <row r="67" spans="2:14" ht="59.25" customHeight="1" x14ac:dyDescent="0.2">
      <c r="B67" s="12"/>
      <c r="C67" s="81" t="s">
        <v>160</v>
      </c>
      <c r="D67" s="126" t="s">
        <v>85</v>
      </c>
      <c r="E67" s="126"/>
      <c r="F67" s="126"/>
      <c r="G67" s="58">
        <v>1</v>
      </c>
      <c r="H67" s="59" t="s">
        <v>86</v>
      </c>
      <c r="I67" s="129">
        <v>100</v>
      </c>
      <c r="J67" s="129"/>
      <c r="K67" s="58"/>
      <c r="L67" s="30">
        <f t="shared" si="2"/>
        <v>8.33</v>
      </c>
    </row>
    <row r="68" spans="2:14" ht="33.75" customHeight="1" x14ac:dyDescent="0.2">
      <c r="B68" s="12"/>
      <c r="C68" s="81" t="s">
        <v>112</v>
      </c>
      <c r="D68" s="126" t="s">
        <v>85</v>
      </c>
      <c r="E68" s="126"/>
      <c r="F68" s="126"/>
      <c r="G68" s="58">
        <v>1</v>
      </c>
      <c r="H68" s="59" t="s">
        <v>86</v>
      </c>
      <c r="I68" s="129">
        <v>20</v>
      </c>
      <c r="J68" s="129"/>
      <c r="K68" s="58"/>
      <c r="L68" s="30">
        <f t="shared" si="2"/>
        <v>1.67</v>
      </c>
    </row>
    <row r="69" spans="2:14" ht="63.75" x14ac:dyDescent="0.2">
      <c r="B69" s="12"/>
      <c r="C69" s="81" t="s">
        <v>161</v>
      </c>
      <c r="D69" s="126" t="s">
        <v>85</v>
      </c>
      <c r="E69" s="126"/>
      <c r="F69" s="126"/>
      <c r="G69" s="58">
        <v>1</v>
      </c>
      <c r="H69" s="59" t="s">
        <v>86</v>
      </c>
      <c r="I69" s="129">
        <v>60</v>
      </c>
      <c r="J69" s="129"/>
      <c r="K69" s="58"/>
      <c r="L69" s="30">
        <f t="shared" si="2"/>
        <v>5</v>
      </c>
    </row>
    <row r="70" spans="2:14" x14ac:dyDescent="0.2">
      <c r="B70" s="127" t="s">
        <v>68</v>
      </c>
      <c r="C70" s="128"/>
      <c r="D70" s="128"/>
      <c r="E70" s="128"/>
      <c r="F70" s="128"/>
      <c r="G70" s="128"/>
      <c r="H70" s="128"/>
      <c r="I70" s="128"/>
      <c r="J70" s="130"/>
      <c r="K70" s="3" t="s">
        <v>0</v>
      </c>
      <c r="L70" s="13">
        <f>ROUND((L62),2)</f>
        <v>53.33</v>
      </c>
    </row>
    <row r="71" spans="2:14" x14ac:dyDescent="0.2">
      <c r="B71" s="179"/>
      <c r="C71" s="180"/>
      <c r="D71" s="180"/>
      <c r="E71" s="180"/>
      <c r="F71" s="180"/>
      <c r="G71" s="180"/>
      <c r="H71" s="180"/>
      <c r="I71" s="180"/>
      <c r="J71" s="180"/>
      <c r="K71" s="180"/>
      <c r="L71" s="180"/>
    </row>
    <row r="72" spans="2:14" x14ac:dyDescent="0.2">
      <c r="B72" s="122" t="s">
        <v>69</v>
      </c>
      <c r="C72" s="123"/>
      <c r="D72" s="123"/>
      <c r="E72" s="123"/>
      <c r="F72" s="123"/>
      <c r="G72" s="123"/>
      <c r="H72" s="123"/>
      <c r="I72" s="123"/>
      <c r="J72" s="123"/>
      <c r="K72" s="123"/>
      <c r="L72" s="124"/>
    </row>
    <row r="73" spans="2:14" x14ac:dyDescent="0.2">
      <c r="B73" s="12">
        <v>6</v>
      </c>
      <c r="C73" s="108" t="s">
        <v>16</v>
      </c>
      <c r="D73" s="108"/>
      <c r="E73" s="108"/>
      <c r="F73" s="108"/>
      <c r="G73" s="108"/>
      <c r="H73" s="108"/>
      <c r="I73" s="108"/>
      <c r="J73" s="108"/>
      <c r="K73" s="12" t="s">
        <v>2</v>
      </c>
      <c r="L73" s="12" t="s">
        <v>1</v>
      </c>
    </row>
    <row r="74" spans="2:14" x14ac:dyDescent="0.2">
      <c r="B74" s="12" t="s">
        <v>4</v>
      </c>
      <c r="C74" s="109" t="s">
        <v>17</v>
      </c>
      <c r="D74" s="109"/>
      <c r="E74" s="109"/>
      <c r="F74" s="109"/>
      <c r="G74" s="109"/>
      <c r="H74" s="109"/>
      <c r="I74" s="109"/>
      <c r="J74" s="109"/>
      <c r="K74" s="60">
        <f>'Vigilante diurno 12x36'!K73</f>
        <v>3.3860000000000001E-3</v>
      </c>
      <c r="L74" s="45">
        <f>ROUND(K74*L89,2)</f>
        <v>23.13</v>
      </c>
    </row>
    <row r="75" spans="2:14" x14ac:dyDescent="0.2">
      <c r="B75" s="12" t="s">
        <v>5</v>
      </c>
      <c r="C75" s="109" t="s">
        <v>3</v>
      </c>
      <c r="D75" s="109"/>
      <c r="E75" s="109"/>
      <c r="F75" s="109"/>
      <c r="G75" s="109"/>
      <c r="H75" s="109"/>
      <c r="I75" s="109"/>
      <c r="J75" s="109"/>
      <c r="K75" s="60">
        <f>'Vigilante diurno 12x36'!K74</f>
        <v>2.5000000000000001E-3</v>
      </c>
      <c r="L75" s="45">
        <f>ROUND(K75*(L74+L89),2)</f>
        <v>17.13</v>
      </c>
    </row>
    <row r="76" spans="2:14" x14ac:dyDescent="0.2">
      <c r="B76" s="12" t="s">
        <v>6</v>
      </c>
      <c r="C76" s="184" t="s">
        <v>42</v>
      </c>
      <c r="D76" s="184"/>
      <c r="E76" s="184"/>
      <c r="F76" s="184"/>
      <c r="G76" s="184"/>
      <c r="H76" s="184"/>
      <c r="I76" s="184"/>
      <c r="J76" s="184"/>
      <c r="K76" s="14"/>
      <c r="L76" s="61"/>
    </row>
    <row r="77" spans="2:14" x14ac:dyDescent="0.2">
      <c r="B77" s="12" t="s">
        <v>43</v>
      </c>
      <c r="C77" s="119" t="s">
        <v>40</v>
      </c>
      <c r="D77" s="119"/>
      <c r="E77" s="119"/>
      <c r="F77" s="119"/>
      <c r="G77" s="119"/>
      <c r="H77" s="119"/>
      <c r="I77" s="119"/>
      <c r="J77" s="119"/>
      <c r="K77" s="83">
        <v>6.4999999999999997E-3</v>
      </c>
      <c r="L77" s="45">
        <f>((L$74+L$75+L$89)*K77)/(100%-K$77)</f>
        <v>44.953764469048814</v>
      </c>
    </row>
    <row r="78" spans="2:14" x14ac:dyDescent="0.2">
      <c r="B78" s="12" t="s">
        <v>44</v>
      </c>
      <c r="C78" s="119" t="s">
        <v>41</v>
      </c>
      <c r="D78" s="119"/>
      <c r="E78" s="119"/>
      <c r="F78" s="119"/>
      <c r="G78" s="119"/>
      <c r="H78" s="119"/>
      <c r="I78" s="119"/>
      <c r="J78" s="119"/>
      <c r="K78" s="84">
        <v>0.03</v>
      </c>
      <c r="L78" s="45">
        <f>((L$74+L$75+L$89)*K78)/(100%-K78)</f>
        <v>212.50546391752579</v>
      </c>
    </row>
    <row r="79" spans="2:14" x14ac:dyDescent="0.2">
      <c r="B79" s="12" t="s">
        <v>45</v>
      </c>
      <c r="C79" s="119" t="s">
        <v>104</v>
      </c>
      <c r="D79" s="119"/>
      <c r="E79" s="119"/>
      <c r="F79" s="119"/>
      <c r="G79" s="119"/>
      <c r="H79" s="119"/>
      <c r="I79" s="119"/>
      <c r="J79" s="119"/>
      <c r="K79" s="84">
        <v>0.03</v>
      </c>
      <c r="L79" s="45">
        <f>((L$74+L$75+L$89)*K79)/(100%-K79)</f>
        <v>212.50546391752579</v>
      </c>
      <c r="N79" s="37"/>
    </row>
    <row r="80" spans="2:14" x14ac:dyDescent="0.2">
      <c r="B80" s="127" t="s">
        <v>70</v>
      </c>
      <c r="C80" s="128"/>
      <c r="D80" s="128"/>
      <c r="E80" s="128"/>
      <c r="F80" s="128"/>
      <c r="G80" s="128"/>
      <c r="H80" s="128"/>
      <c r="I80" s="128"/>
      <c r="J80" s="130"/>
      <c r="K80" s="16">
        <f>SUM(K74:K79)</f>
        <v>7.2386000000000006E-2</v>
      </c>
      <c r="L80" s="13">
        <f>ROUND(SUM(L74:L79),2)</f>
        <v>510.22</v>
      </c>
      <c r="M80" s="37"/>
      <c r="N80" s="37"/>
    </row>
    <row r="81" spans="2:14" ht="36" customHeight="1" x14ac:dyDescent="0.2">
      <c r="B81" s="49"/>
      <c r="C81" s="105"/>
      <c r="D81" s="105"/>
      <c r="E81" s="105"/>
      <c r="F81" s="105"/>
      <c r="G81" s="105"/>
      <c r="H81" s="105"/>
      <c r="I81" s="105"/>
      <c r="J81" s="105"/>
      <c r="K81" s="105"/>
      <c r="L81" s="105"/>
    </row>
    <row r="82" spans="2:14" x14ac:dyDescent="0.2">
      <c r="B82" s="181" t="s">
        <v>71</v>
      </c>
      <c r="C82" s="182"/>
      <c r="D82" s="182"/>
      <c r="E82" s="182"/>
      <c r="F82" s="182"/>
      <c r="G82" s="182"/>
      <c r="H82" s="182"/>
      <c r="I82" s="182"/>
      <c r="J82" s="182"/>
      <c r="K82" s="182"/>
      <c r="L82" s="183"/>
      <c r="N82" s="10"/>
    </row>
    <row r="83" spans="2:14" x14ac:dyDescent="0.2">
      <c r="B83" s="127" t="s">
        <v>18</v>
      </c>
      <c r="C83" s="128"/>
      <c r="D83" s="128"/>
      <c r="E83" s="128"/>
      <c r="F83" s="128"/>
      <c r="G83" s="128"/>
      <c r="H83" s="128"/>
      <c r="I83" s="128"/>
      <c r="J83" s="128"/>
      <c r="K83" s="130"/>
      <c r="L83" s="12" t="s">
        <v>1</v>
      </c>
    </row>
    <row r="84" spans="2:14" x14ac:dyDescent="0.2">
      <c r="B84" s="53" t="s">
        <v>4</v>
      </c>
      <c r="C84" s="104" t="str">
        <f>B6</f>
        <v>MÓDULO 1 - COMPOSIÇÃO DA REMUNERAÇÃO</v>
      </c>
      <c r="D84" s="105"/>
      <c r="E84" s="105"/>
      <c r="F84" s="105"/>
      <c r="G84" s="105"/>
      <c r="H84" s="105"/>
      <c r="I84" s="105"/>
      <c r="J84" s="105"/>
      <c r="K84" s="106"/>
      <c r="L84" s="45">
        <f>L12</f>
        <v>3533.58</v>
      </c>
    </row>
    <row r="85" spans="2:14" x14ac:dyDescent="0.2">
      <c r="B85" s="53" t="s">
        <v>5</v>
      </c>
      <c r="C85" s="104" t="str">
        <f>B14</f>
        <v>MÓDULO 2 – ENCARGOS E BENEFÍCIOS ANUAIS, MENSAIS E DIÁRIOS</v>
      </c>
      <c r="D85" s="105"/>
      <c r="E85" s="105"/>
      <c r="F85" s="105"/>
      <c r="G85" s="105"/>
      <c r="H85" s="105"/>
      <c r="I85" s="105"/>
      <c r="J85" s="105"/>
      <c r="K85" s="106"/>
      <c r="L85" s="45">
        <f>L43</f>
        <v>2503.1799999999998</v>
      </c>
    </row>
    <row r="86" spans="2:14" x14ac:dyDescent="0.2">
      <c r="B86" s="53" t="s">
        <v>6</v>
      </c>
      <c r="C86" s="104" t="str">
        <f>B45</f>
        <v>MÓDULO 3 – PROVISÃO PARA RESCISÃO</v>
      </c>
      <c r="D86" s="105"/>
      <c r="E86" s="105"/>
      <c r="F86" s="105"/>
      <c r="G86" s="105"/>
      <c r="H86" s="105"/>
      <c r="I86" s="105"/>
      <c r="J86" s="105"/>
      <c r="K86" s="106"/>
      <c r="L86" s="45">
        <f>L52</f>
        <v>199.32</v>
      </c>
      <c r="N86" s="10"/>
    </row>
    <row r="87" spans="2:14" x14ac:dyDescent="0.2">
      <c r="B87" s="53" t="s">
        <v>7</v>
      </c>
      <c r="C87" s="104" t="str">
        <f>B54</f>
        <v>MÓDULO 4 – CUSTO DE REPOSIÇÃO DO PROFISSIONAL AUSENTE</v>
      </c>
      <c r="D87" s="105"/>
      <c r="E87" s="105"/>
      <c r="F87" s="105"/>
      <c r="G87" s="105"/>
      <c r="H87" s="105"/>
      <c r="I87" s="105"/>
      <c r="J87" s="105"/>
      <c r="K87" s="106"/>
      <c r="L87" s="45">
        <f>L58</f>
        <v>541.34</v>
      </c>
      <c r="N87" s="10"/>
    </row>
    <row r="88" spans="2:14" x14ac:dyDescent="0.2">
      <c r="B88" s="53" t="s">
        <v>8</v>
      </c>
      <c r="C88" s="104" t="str">
        <f>B60</f>
        <v>MÓDULO 5 – INSUMOS DIVERSOS</v>
      </c>
      <c r="D88" s="105"/>
      <c r="E88" s="105"/>
      <c r="F88" s="105"/>
      <c r="G88" s="105"/>
      <c r="H88" s="105"/>
      <c r="I88" s="105"/>
      <c r="J88" s="105"/>
      <c r="K88" s="106"/>
      <c r="L88" s="45">
        <f>L70</f>
        <v>53.33</v>
      </c>
    </row>
    <row r="89" spans="2:14" x14ac:dyDescent="0.2">
      <c r="B89" s="12"/>
      <c r="C89" s="127" t="s">
        <v>72</v>
      </c>
      <c r="D89" s="128"/>
      <c r="E89" s="128"/>
      <c r="F89" s="128"/>
      <c r="G89" s="128"/>
      <c r="H89" s="128"/>
      <c r="I89" s="128"/>
      <c r="J89" s="128"/>
      <c r="K89" s="130"/>
      <c r="L89" s="13">
        <f>TRUNC(SUM(L84:L88),2)</f>
        <v>6830.75</v>
      </c>
      <c r="N89" s="17"/>
    </row>
    <row r="90" spans="2:14" x14ac:dyDescent="0.2">
      <c r="B90" s="53" t="s">
        <v>9</v>
      </c>
      <c r="C90" s="104" t="str">
        <f>B72</f>
        <v>MÓDULO 6 – CUSTOS INDIRETOS, TRIBUTOS E LUCRO</v>
      </c>
      <c r="D90" s="105"/>
      <c r="E90" s="105"/>
      <c r="F90" s="105"/>
      <c r="G90" s="105"/>
      <c r="H90" s="105"/>
      <c r="I90" s="105"/>
      <c r="J90" s="105"/>
      <c r="K90" s="106"/>
      <c r="L90" s="45">
        <f>L80</f>
        <v>510.22</v>
      </c>
    </row>
    <row r="91" spans="2:14" x14ac:dyDescent="0.2">
      <c r="B91" s="127" t="s">
        <v>74</v>
      </c>
      <c r="C91" s="128"/>
      <c r="D91" s="128"/>
      <c r="E91" s="128"/>
      <c r="F91" s="128"/>
      <c r="G91" s="128"/>
      <c r="H91" s="128"/>
      <c r="I91" s="128"/>
      <c r="J91" s="128"/>
      <c r="K91" s="130"/>
      <c r="L91" s="13">
        <f>TRUNC(SUM(L89:L90),2)</f>
        <v>7340.97</v>
      </c>
      <c r="M91" s="50"/>
    </row>
    <row r="92" spans="2:14" x14ac:dyDescent="0.2">
      <c r="L92" s="17"/>
    </row>
    <row r="93" spans="2:14" hidden="1" x14ac:dyDescent="0.2">
      <c r="B93" s="49"/>
      <c r="C93" s="134" t="s">
        <v>20</v>
      </c>
      <c r="D93" s="134"/>
      <c r="E93" s="134"/>
      <c r="F93" s="134"/>
      <c r="G93" s="134"/>
      <c r="H93" s="134"/>
      <c r="I93" s="134"/>
      <c r="J93" s="134"/>
      <c r="K93" s="1"/>
      <c r="L93" s="1"/>
    </row>
    <row r="94" spans="2:14" ht="40.5" hidden="1" customHeight="1" x14ac:dyDescent="0.2">
      <c r="B94" s="138" t="s">
        <v>22</v>
      </c>
      <c r="C94" s="139"/>
      <c r="D94" s="138" t="s">
        <v>23</v>
      </c>
      <c r="E94" s="139"/>
      <c r="F94" s="138" t="s">
        <v>25</v>
      </c>
      <c r="G94" s="139"/>
      <c r="H94" s="8"/>
      <c r="I94" s="8"/>
      <c r="J94" s="8" t="s">
        <v>24</v>
      </c>
      <c r="K94" s="9" t="s">
        <v>21</v>
      </c>
      <c r="L94" s="5" t="s">
        <v>1</v>
      </c>
    </row>
    <row r="95" spans="2:14" ht="12.75" hidden="1" customHeight="1" x14ac:dyDescent="0.2">
      <c r="B95" s="142" t="s">
        <v>26</v>
      </c>
      <c r="C95" s="143"/>
      <c r="D95" s="150" t="s">
        <v>30</v>
      </c>
      <c r="E95" s="151"/>
      <c r="F95" s="140"/>
      <c r="G95" s="141"/>
      <c r="H95" s="63"/>
      <c r="I95" s="63"/>
      <c r="J95" s="64" t="s">
        <v>30</v>
      </c>
      <c r="K95" s="65"/>
      <c r="L95" s="66">
        <v>0</v>
      </c>
    </row>
    <row r="96" spans="2:14" ht="12.75" hidden="1" customHeight="1" x14ac:dyDescent="0.2">
      <c r="B96" s="177" t="s">
        <v>27</v>
      </c>
      <c r="C96" s="178"/>
      <c r="D96" s="146" t="s">
        <v>30</v>
      </c>
      <c r="E96" s="147"/>
      <c r="F96" s="148"/>
      <c r="G96" s="149"/>
      <c r="H96" s="68"/>
      <c r="I96" s="68"/>
      <c r="J96" s="55" t="s">
        <v>30</v>
      </c>
      <c r="K96" s="69"/>
      <c r="L96" s="70">
        <v>0</v>
      </c>
    </row>
    <row r="97" spans="2:12" ht="12.75" hidden="1" customHeight="1" x14ac:dyDescent="0.2">
      <c r="B97" s="177" t="s">
        <v>28</v>
      </c>
      <c r="C97" s="178"/>
      <c r="D97" s="146" t="s">
        <v>30</v>
      </c>
      <c r="E97" s="147"/>
      <c r="F97" s="148"/>
      <c r="G97" s="149"/>
      <c r="H97" s="68"/>
      <c r="I97" s="68"/>
      <c r="J97" s="55" t="s">
        <v>30</v>
      </c>
      <c r="K97" s="69"/>
      <c r="L97" s="70">
        <v>0</v>
      </c>
    </row>
    <row r="98" spans="2:12" ht="12.75" hidden="1" customHeight="1" x14ac:dyDescent="0.2">
      <c r="B98" s="177" t="s">
        <v>29</v>
      </c>
      <c r="C98" s="178"/>
      <c r="D98" s="146" t="s">
        <v>30</v>
      </c>
      <c r="E98" s="147"/>
      <c r="F98" s="148"/>
      <c r="G98" s="149"/>
      <c r="H98" s="68"/>
      <c r="I98" s="68"/>
      <c r="J98" s="55" t="s">
        <v>30</v>
      </c>
      <c r="K98" s="69"/>
      <c r="L98" s="70">
        <v>0</v>
      </c>
    </row>
    <row r="99" spans="2:12" ht="12.75" hidden="1" customHeight="1" x14ac:dyDescent="0.2">
      <c r="B99" s="175"/>
      <c r="C99" s="176"/>
      <c r="D99" s="148"/>
      <c r="E99" s="149"/>
      <c r="F99" s="148"/>
      <c r="G99" s="149"/>
      <c r="H99" s="68"/>
      <c r="I99" s="68"/>
      <c r="J99" s="6"/>
      <c r="K99" s="7"/>
      <c r="L99" s="70"/>
    </row>
    <row r="100" spans="2:12" ht="13.5" hidden="1" customHeight="1" x14ac:dyDescent="0.2">
      <c r="B100" s="173"/>
      <c r="C100" s="174"/>
      <c r="D100" s="144"/>
      <c r="E100" s="145"/>
      <c r="F100" s="144"/>
      <c r="G100" s="145"/>
      <c r="H100" s="71"/>
      <c r="I100" s="71"/>
      <c r="J100" s="72"/>
      <c r="K100" s="73"/>
      <c r="L100" s="74"/>
    </row>
    <row r="101" spans="2:12" ht="13.5" hidden="1" customHeight="1" x14ac:dyDescent="0.2">
      <c r="B101" s="169" t="s">
        <v>31</v>
      </c>
      <c r="C101" s="170"/>
      <c r="D101" s="170"/>
      <c r="E101" s="170"/>
      <c r="F101" s="170"/>
      <c r="G101" s="170"/>
      <c r="H101" s="170"/>
      <c r="I101" s="170"/>
      <c r="J101" s="170"/>
      <c r="K101" s="172"/>
      <c r="L101" s="4">
        <f>SUM(L99:L100)</f>
        <v>0</v>
      </c>
    </row>
    <row r="102" spans="2:12" hidden="1" x14ac:dyDescent="0.2"/>
    <row r="103" spans="2:12" hidden="1" x14ac:dyDescent="0.2">
      <c r="B103" s="49" t="s">
        <v>32</v>
      </c>
      <c r="C103" s="134" t="s">
        <v>33</v>
      </c>
      <c r="D103" s="134"/>
      <c r="E103" s="134"/>
      <c r="F103" s="134"/>
      <c r="G103" s="134"/>
      <c r="H103" s="134"/>
      <c r="I103" s="134"/>
      <c r="J103" s="134"/>
      <c r="K103" s="1"/>
      <c r="L103" s="1"/>
    </row>
    <row r="104" spans="2:12" ht="13.5" hidden="1" customHeight="1" x14ac:dyDescent="0.2">
      <c r="B104" s="169" t="s">
        <v>34</v>
      </c>
      <c r="C104" s="170"/>
      <c r="D104" s="170"/>
      <c r="E104" s="170"/>
      <c r="F104" s="170"/>
      <c r="G104" s="170"/>
      <c r="H104" s="170"/>
      <c r="I104" s="170"/>
      <c r="J104" s="170"/>
      <c r="K104" s="170"/>
      <c r="L104" s="171"/>
    </row>
    <row r="105" spans="2:12" ht="13.5" hidden="1" customHeight="1" x14ac:dyDescent="0.2">
      <c r="B105" s="75"/>
      <c r="C105" s="166" t="s">
        <v>35</v>
      </c>
      <c r="D105" s="167"/>
      <c r="E105" s="167"/>
      <c r="F105" s="167"/>
      <c r="G105" s="167"/>
      <c r="H105" s="167"/>
      <c r="I105" s="167"/>
      <c r="J105" s="167"/>
      <c r="K105" s="168"/>
      <c r="L105" s="5" t="s">
        <v>1</v>
      </c>
    </row>
    <row r="106" spans="2:12" ht="12.75" hidden="1" customHeight="1" x14ac:dyDescent="0.2">
      <c r="B106" s="62" t="s">
        <v>4</v>
      </c>
      <c r="C106" s="135" t="s">
        <v>36</v>
      </c>
      <c r="D106" s="136"/>
      <c r="E106" s="136"/>
      <c r="F106" s="136"/>
      <c r="G106" s="136"/>
      <c r="H106" s="136"/>
      <c r="I106" s="136"/>
      <c r="J106" s="136"/>
      <c r="K106" s="137"/>
      <c r="L106" s="76">
        <f>L77</f>
        <v>44.953764469048814</v>
      </c>
    </row>
    <row r="107" spans="2:12" ht="12.75" hidden="1" customHeight="1" x14ac:dyDescent="0.2">
      <c r="B107" s="67" t="s">
        <v>5</v>
      </c>
      <c r="C107" s="104" t="s">
        <v>37</v>
      </c>
      <c r="D107" s="105"/>
      <c r="E107" s="105"/>
      <c r="F107" s="105"/>
      <c r="G107" s="105"/>
      <c r="H107" s="105"/>
      <c r="I107" s="105"/>
      <c r="J107" s="105"/>
      <c r="K107" s="106"/>
      <c r="L107" s="77" t="e">
        <f>#REF!</f>
        <v>#REF!</v>
      </c>
    </row>
    <row r="108" spans="2:12" ht="13.5" hidden="1" customHeight="1" x14ac:dyDescent="0.2">
      <c r="B108" s="67" t="s">
        <v>6</v>
      </c>
      <c r="C108" s="163" t="s">
        <v>38</v>
      </c>
      <c r="D108" s="164"/>
      <c r="E108" s="164"/>
      <c r="F108" s="164"/>
      <c r="G108" s="164"/>
      <c r="H108" s="164"/>
      <c r="I108" s="164"/>
      <c r="J108" s="164"/>
      <c r="K108" s="165"/>
      <c r="L108" s="77">
        <f>L80</f>
        <v>510.22</v>
      </c>
    </row>
    <row r="109" spans="2:12" ht="13.5" hidden="1" customHeight="1" x14ac:dyDescent="0.2">
      <c r="B109" s="131" t="s">
        <v>15</v>
      </c>
      <c r="C109" s="132"/>
      <c r="D109" s="132"/>
      <c r="E109" s="132"/>
      <c r="F109" s="132"/>
      <c r="G109" s="132"/>
      <c r="H109" s="132"/>
      <c r="I109" s="132"/>
      <c r="J109" s="132"/>
      <c r="K109" s="133"/>
      <c r="L109" s="4" t="e">
        <f>SUM(L106:L108)</f>
        <v>#REF!</v>
      </c>
    </row>
    <row r="110" spans="2:12" hidden="1" x14ac:dyDescent="0.2">
      <c r="B110" s="49" t="s">
        <v>14</v>
      </c>
      <c r="C110" t="s">
        <v>39</v>
      </c>
    </row>
    <row r="111" spans="2:12" hidden="1" x14ac:dyDescent="0.2"/>
    <row r="112" spans="2:12" hidden="1" x14ac:dyDescent="0.2"/>
    <row r="113" spans="2:6" hidden="1" x14ac:dyDescent="0.2">
      <c r="C113" s="11" t="s">
        <v>73</v>
      </c>
      <c r="D113" s="11">
        <f>L91/L8</f>
        <v>3.0966325407170245</v>
      </c>
    </row>
    <row r="114" spans="2:6" x14ac:dyDescent="0.2">
      <c r="B114" s="10"/>
      <c r="C114" s="11"/>
      <c r="F114" s="15"/>
    </row>
    <row r="117" spans="2:6" x14ac:dyDescent="0.2">
      <c r="B117" s="15"/>
    </row>
    <row r="118" spans="2:6" x14ac:dyDescent="0.2">
      <c r="B118" s="15"/>
    </row>
  </sheetData>
  <mergeCells count="129">
    <mergeCell ref="B6:L6"/>
    <mergeCell ref="C7:J7"/>
    <mergeCell ref="C8:J8"/>
    <mergeCell ref="C23:J23"/>
    <mergeCell ref="B19:L19"/>
    <mergeCell ref="B20:J20"/>
    <mergeCell ref="C21:J21"/>
    <mergeCell ref="C22:J22"/>
    <mergeCell ref="D9:J9"/>
    <mergeCell ref="C34:J34"/>
    <mergeCell ref="C35:J35"/>
    <mergeCell ref="C26:J26"/>
    <mergeCell ref="C27:J27"/>
    <mergeCell ref="C28:J28"/>
    <mergeCell ref="B29:J29"/>
    <mergeCell ref="B30:L30"/>
    <mergeCell ref="B31:J31"/>
    <mergeCell ref="B36:K36"/>
    <mergeCell ref="C24:J24"/>
    <mergeCell ref="C25:J25"/>
    <mergeCell ref="B12:K12"/>
    <mergeCell ref="B14:L14"/>
    <mergeCell ref="B15:J15"/>
    <mergeCell ref="C16:J16"/>
    <mergeCell ref="C17:J17"/>
    <mergeCell ref="B18:J18"/>
    <mergeCell ref="D33:E33"/>
    <mergeCell ref="H33:I33"/>
    <mergeCell ref="B38:L38"/>
    <mergeCell ref="C41:K41"/>
    <mergeCell ref="C42:K42"/>
    <mergeCell ref="B39:K39"/>
    <mergeCell ref="C40:K40"/>
    <mergeCell ref="B43:K43"/>
    <mergeCell ref="B44:L44"/>
    <mergeCell ref="C46:J46"/>
    <mergeCell ref="B37:L37"/>
    <mergeCell ref="C57:J57"/>
    <mergeCell ref="C10:J10"/>
    <mergeCell ref="B58:K58"/>
    <mergeCell ref="B59:L59"/>
    <mergeCell ref="D69:F69"/>
    <mergeCell ref="I69:J69"/>
    <mergeCell ref="D64:F64"/>
    <mergeCell ref="I64:J64"/>
    <mergeCell ref="D65:F65"/>
    <mergeCell ref="I65:J65"/>
    <mergeCell ref="C50:J50"/>
    <mergeCell ref="C51:J51"/>
    <mergeCell ref="B54:L54"/>
    <mergeCell ref="B52:J52"/>
    <mergeCell ref="B53:L53"/>
    <mergeCell ref="B55:J55"/>
    <mergeCell ref="C56:J56"/>
    <mergeCell ref="C61:J61"/>
    <mergeCell ref="D63:F63"/>
    <mergeCell ref="I63:J63"/>
    <mergeCell ref="B45:L45"/>
    <mergeCell ref="C47:J47"/>
    <mergeCell ref="C48:J48"/>
    <mergeCell ref="C49:J49"/>
    <mergeCell ref="C75:J75"/>
    <mergeCell ref="C76:J76"/>
    <mergeCell ref="C77:J77"/>
    <mergeCell ref="C78:J78"/>
    <mergeCell ref="C79:J79"/>
    <mergeCell ref="B60:L60"/>
    <mergeCell ref="C62:J62"/>
    <mergeCell ref="D66:F66"/>
    <mergeCell ref="I66:J66"/>
    <mergeCell ref="D67:F67"/>
    <mergeCell ref="I67:J67"/>
    <mergeCell ref="D68:F68"/>
    <mergeCell ref="I68:J68"/>
    <mergeCell ref="B70:J70"/>
    <mergeCell ref="D95:E95"/>
    <mergeCell ref="F95:G95"/>
    <mergeCell ref="C86:K86"/>
    <mergeCell ref="C87:K87"/>
    <mergeCell ref="C88:K88"/>
    <mergeCell ref="C89:K89"/>
    <mergeCell ref="C90:K90"/>
    <mergeCell ref="C84:K84"/>
    <mergeCell ref="C85:K85"/>
    <mergeCell ref="B91:K91"/>
    <mergeCell ref="C93:J93"/>
    <mergeCell ref="C103:J103"/>
    <mergeCell ref="C105:K105"/>
    <mergeCell ref="B109:K109"/>
    <mergeCell ref="D97:E97"/>
    <mergeCell ref="F97:G97"/>
    <mergeCell ref="B98:C98"/>
    <mergeCell ref="D98:E98"/>
    <mergeCell ref="F98:G98"/>
    <mergeCell ref="B99:C99"/>
    <mergeCell ref="D99:E99"/>
    <mergeCell ref="F99:G99"/>
    <mergeCell ref="B100:C100"/>
    <mergeCell ref="D100:E100"/>
    <mergeCell ref="F100:G100"/>
    <mergeCell ref="B97:C97"/>
    <mergeCell ref="C107:K107"/>
    <mergeCell ref="C108:K108"/>
    <mergeCell ref="B104:L104"/>
    <mergeCell ref="C106:K106"/>
    <mergeCell ref="B4:C4"/>
    <mergeCell ref="D4:L4"/>
    <mergeCell ref="B5:C5"/>
    <mergeCell ref="D5:L5"/>
    <mergeCell ref="B2:L2"/>
    <mergeCell ref="B1:L1"/>
    <mergeCell ref="B3:C3"/>
    <mergeCell ref="D3:L3"/>
    <mergeCell ref="B101:K101"/>
    <mergeCell ref="B71:L71"/>
    <mergeCell ref="B72:L72"/>
    <mergeCell ref="C73:J73"/>
    <mergeCell ref="C74:J74"/>
    <mergeCell ref="B96:C96"/>
    <mergeCell ref="D96:E96"/>
    <mergeCell ref="F96:G96"/>
    <mergeCell ref="B80:J80"/>
    <mergeCell ref="C81:L81"/>
    <mergeCell ref="B82:L82"/>
    <mergeCell ref="B83:K83"/>
    <mergeCell ref="B94:C94"/>
    <mergeCell ref="D94:E94"/>
    <mergeCell ref="F94:G94"/>
    <mergeCell ref="B95:C95"/>
  </mergeCells>
  <pageMargins left="0.39370078740157483" right="0.39370078740157483" top="0.39370078740157483" bottom="0.39370078740157483" header="0.39370078740157483" footer="0.3937007874015748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I33"/>
  <sheetViews>
    <sheetView topLeftCell="A24" zoomScaleNormal="100" workbookViewId="0">
      <selection activeCell="K29" sqref="K29"/>
    </sheetView>
  </sheetViews>
  <sheetFormatPr defaultRowHeight="12.75" x14ac:dyDescent="0.2"/>
  <cols>
    <col min="2" max="2" width="44.140625" style="23" customWidth="1"/>
    <col min="3" max="3" width="15" style="25" customWidth="1"/>
    <col min="4" max="5" width="12.5703125" style="23" customWidth="1"/>
    <col min="6" max="6" width="16.28515625" style="25" customWidth="1"/>
    <col min="7" max="7" width="12.7109375" customWidth="1"/>
    <col min="9" max="9" width="10.28515625" bestFit="1" customWidth="1"/>
  </cols>
  <sheetData>
    <row r="1" spans="2:8" s="23" customFormat="1" ht="45" customHeight="1" thickBot="1" x14ac:dyDescent="0.25">
      <c r="B1" s="186" t="s">
        <v>145</v>
      </c>
      <c r="C1" s="187"/>
      <c r="D1" s="187"/>
      <c r="E1" s="187"/>
      <c r="F1" s="187"/>
      <c r="G1" s="188"/>
    </row>
    <row r="2" spans="2:8" ht="38.25" x14ac:dyDescent="0.2">
      <c r="B2" s="34" t="s">
        <v>87</v>
      </c>
      <c r="C2" s="34" t="s">
        <v>88</v>
      </c>
      <c r="D2" s="35" t="s">
        <v>92</v>
      </c>
      <c r="E2" s="34" t="s">
        <v>93</v>
      </c>
      <c r="F2" s="34" t="s">
        <v>96</v>
      </c>
      <c r="G2" s="34" t="s">
        <v>91</v>
      </c>
    </row>
    <row r="3" spans="2:8" ht="47.25" customHeight="1" x14ac:dyDescent="0.2">
      <c r="B3" s="81" t="s">
        <v>162</v>
      </c>
      <c r="C3" s="32">
        <v>1</v>
      </c>
      <c r="D3" s="36">
        <v>15</v>
      </c>
      <c r="E3" s="33">
        <f>D3*C3</f>
        <v>15</v>
      </c>
      <c r="F3" s="32">
        <v>6</v>
      </c>
      <c r="G3" s="30">
        <f>ROUND(E3/F3,2)</f>
        <v>2.5</v>
      </c>
    </row>
    <row r="4" spans="2:8" ht="63.75" x14ac:dyDescent="0.2">
      <c r="B4" s="90" t="s">
        <v>163</v>
      </c>
      <c r="C4" s="32">
        <v>2</v>
      </c>
      <c r="D4" s="36">
        <v>25</v>
      </c>
      <c r="E4" s="33">
        <f>D4*C4</f>
        <v>50</v>
      </c>
      <c r="F4" s="32">
        <v>12</v>
      </c>
      <c r="G4" s="30">
        <f t="shared" ref="G4:G25" si="0">ROUND(E4/F4,2)</f>
        <v>4.17</v>
      </c>
    </row>
    <row r="5" spans="2:8" ht="51" customHeight="1" x14ac:dyDescent="0.2">
      <c r="B5" s="90" t="s">
        <v>164</v>
      </c>
      <c r="C5" s="32">
        <v>1</v>
      </c>
      <c r="D5" s="36">
        <v>90</v>
      </c>
      <c r="E5" s="33">
        <f t="shared" ref="E5:E25" si="1">D5*C5</f>
        <v>90</v>
      </c>
      <c r="F5" s="32">
        <v>12</v>
      </c>
      <c r="G5" s="30">
        <f t="shared" si="0"/>
        <v>7.5</v>
      </c>
    </row>
    <row r="6" spans="2:8" ht="38.25" x14ac:dyDescent="0.2">
      <c r="B6" s="90" t="s">
        <v>165</v>
      </c>
      <c r="C6" s="32">
        <v>1</v>
      </c>
      <c r="D6" s="36">
        <v>15</v>
      </c>
      <c r="E6" s="33">
        <f t="shared" si="1"/>
        <v>15</v>
      </c>
      <c r="F6" s="32">
        <v>12</v>
      </c>
      <c r="G6" s="30">
        <f t="shared" si="0"/>
        <v>1.25</v>
      </c>
    </row>
    <row r="7" spans="2:8" ht="41.25" customHeight="1" x14ac:dyDescent="0.2">
      <c r="B7" s="90" t="s">
        <v>166</v>
      </c>
      <c r="C7" s="32">
        <v>2</v>
      </c>
      <c r="D7" s="36">
        <v>25</v>
      </c>
      <c r="E7" s="33">
        <f t="shared" si="1"/>
        <v>50</v>
      </c>
      <c r="F7" s="32">
        <v>12</v>
      </c>
      <c r="G7" s="30">
        <f t="shared" si="0"/>
        <v>4.17</v>
      </c>
    </row>
    <row r="8" spans="2:8" ht="45.75" customHeight="1" x14ac:dyDescent="0.2">
      <c r="B8" s="81" t="s">
        <v>167</v>
      </c>
      <c r="C8" s="32">
        <v>1</v>
      </c>
      <c r="D8" s="36">
        <v>2000</v>
      </c>
      <c r="E8" s="33">
        <f t="shared" si="1"/>
        <v>2000</v>
      </c>
      <c r="F8" s="32">
        <v>60</v>
      </c>
      <c r="G8" s="30">
        <f t="shared" si="0"/>
        <v>33.33</v>
      </c>
      <c r="H8" t="s">
        <v>189</v>
      </c>
    </row>
    <row r="9" spans="2:8" ht="27.75" customHeight="1" x14ac:dyDescent="0.2">
      <c r="B9" s="81" t="s">
        <v>168</v>
      </c>
      <c r="C9" s="32">
        <v>12</v>
      </c>
      <c r="D9" s="36">
        <v>7</v>
      </c>
      <c r="E9" s="33">
        <f t="shared" si="1"/>
        <v>84</v>
      </c>
      <c r="F9" s="32">
        <v>12</v>
      </c>
      <c r="G9" s="30">
        <f t="shared" si="0"/>
        <v>7</v>
      </c>
    </row>
    <row r="10" spans="2:8" ht="28.5" customHeight="1" x14ac:dyDescent="0.2">
      <c r="B10" s="81" t="s">
        <v>132</v>
      </c>
      <c r="C10" s="32">
        <v>1</v>
      </c>
      <c r="D10" s="36">
        <v>56.53</v>
      </c>
      <c r="E10" s="33">
        <f t="shared" si="1"/>
        <v>56.53</v>
      </c>
      <c r="F10" s="32">
        <v>12</v>
      </c>
      <c r="G10" s="30">
        <f t="shared" si="0"/>
        <v>4.71</v>
      </c>
    </row>
    <row r="11" spans="2:8" ht="131.25" customHeight="1" x14ac:dyDescent="0.2">
      <c r="B11" s="81" t="s">
        <v>169</v>
      </c>
      <c r="C11" s="32">
        <v>1</v>
      </c>
      <c r="D11" s="36">
        <v>500</v>
      </c>
      <c r="E11" s="33">
        <f t="shared" si="1"/>
        <v>500</v>
      </c>
      <c r="F11" s="32">
        <v>60</v>
      </c>
      <c r="G11" s="30">
        <f t="shared" si="0"/>
        <v>8.33</v>
      </c>
      <c r="H11" t="s">
        <v>189</v>
      </c>
    </row>
    <row r="12" spans="2:8" ht="48.75" customHeight="1" x14ac:dyDescent="0.2">
      <c r="B12" s="81" t="s">
        <v>170</v>
      </c>
      <c r="C12" s="32">
        <v>2</v>
      </c>
      <c r="D12" s="36">
        <v>216.41</v>
      </c>
      <c r="E12" s="33">
        <f t="shared" si="1"/>
        <v>432.82</v>
      </c>
      <c r="F12" s="32">
        <v>12</v>
      </c>
      <c r="G12" s="30">
        <f t="shared" si="0"/>
        <v>36.07</v>
      </c>
    </row>
    <row r="13" spans="2:8" ht="52.5" customHeight="1" x14ac:dyDescent="0.2">
      <c r="B13" s="81" t="s">
        <v>171</v>
      </c>
      <c r="C13" s="32">
        <v>2</v>
      </c>
      <c r="D13" s="36">
        <v>80</v>
      </c>
      <c r="E13" s="33">
        <f t="shared" si="1"/>
        <v>160</v>
      </c>
      <c r="F13" s="32">
        <v>12</v>
      </c>
      <c r="G13" s="30">
        <f t="shared" si="0"/>
        <v>13.33</v>
      </c>
    </row>
    <row r="14" spans="2:8" ht="146.25" customHeight="1" x14ac:dyDescent="0.2">
      <c r="B14" s="81" t="s">
        <v>133</v>
      </c>
      <c r="C14" s="32">
        <v>1</v>
      </c>
      <c r="D14" s="36">
        <v>204.93</v>
      </c>
      <c r="E14" s="33">
        <f t="shared" si="1"/>
        <v>204.93</v>
      </c>
      <c r="F14" s="32">
        <v>24</v>
      </c>
      <c r="G14" s="30">
        <f t="shared" si="0"/>
        <v>8.5399999999999991</v>
      </c>
      <c r="H14" t="s">
        <v>190</v>
      </c>
    </row>
    <row r="15" spans="2:8" ht="149.25" customHeight="1" x14ac:dyDescent="0.2">
      <c r="B15" s="81" t="s">
        <v>134</v>
      </c>
      <c r="C15" s="32">
        <v>6</v>
      </c>
      <c r="D15" s="36">
        <v>397.69</v>
      </c>
      <c r="E15" s="33">
        <f t="shared" si="1"/>
        <v>2386.14</v>
      </c>
      <c r="F15" s="32">
        <v>24</v>
      </c>
      <c r="G15" s="30">
        <f t="shared" si="0"/>
        <v>99.42</v>
      </c>
      <c r="H15" t="s">
        <v>190</v>
      </c>
    </row>
    <row r="16" spans="2:8" ht="152.25" customHeight="1" x14ac:dyDescent="0.2">
      <c r="B16" s="81" t="s">
        <v>135</v>
      </c>
      <c r="C16" s="32">
        <v>2</v>
      </c>
      <c r="D16" s="36">
        <v>224.98</v>
      </c>
      <c r="E16" s="33">
        <f t="shared" si="1"/>
        <v>449.96</v>
      </c>
      <c r="F16" s="32">
        <v>12</v>
      </c>
      <c r="G16" s="30">
        <f t="shared" si="0"/>
        <v>37.5</v>
      </c>
    </row>
    <row r="17" spans="2:9" ht="90" customHeight="1" x14ac:dyDescent="0.2">
      <c r="B17" s="90" t="s">
        <v>136</v>
      </c>
      <c r="C17" s="32">
        <v>7</v>
      </c>
      <c r="D17" s="36">
        <v>65</v>
      </c>
      <c r="E17" s="33">
        <f t="shared" si="1"/>
        <v>455</v>
      </c>
      <c r="F17" s="32">
        <v>12</v>
      </c>
      <c r="G17" s="30">
        <f t="shared" si="0"/>
        <v>37.92</v>
      </c>
    </row>
    <row r="18" spans="2:9" ht="228" customHeight="1" x14ac:dyDescent="0.2">
      <c r="B18" s="90" t="s">
        <v>137</v>
      </c>
      <c r="C18" s="32">
        <v>6</v>
      </c>
      <c r="D18" s="36">
        <v>80</v>
      </c>
      <c r="E18" s="33">
        <f t="shared" si="1"/>
        <v>480</v>
      </c>
      <c r="F18" s="32">
        <v>12</v>
      </c>
      <c r="G18" s="30">
        <f t="shared" si="0"/>
        <v>40</v>
      </c>
    </row>
    <row r="19" spans="2:9" ht="70.5" customHeight="1" x14ac:dyDescent="0.2">
      <c r="B19" s="81" t="s">
        <v>138</v>
      </c>
      <c r="C19" s="32">
        <v>2</v>
      </c>
      <c r="D19" s="36">
        <v>27.8</v>
      </c>
      <c r="E19" s="33">
        <f t="shared" si="1"/>
        <v>55.6</v>
      </c>
      <c r="F19" s="32">
        <v>12</v>
      </c>
      <c r="G19" s="30">
        <f t="shared" si="0"/>
        <v>4.63</v>
      </c>
    </row>
    <row r="20" spans="2:9" ht="54.75" customHeight="1" x14ac:dyDescent="0.2">
      <c r="B20" s="90" t="s">
        <v>139</v>
      </c>
      <c r="C20" s="32">
        <v>1</v>
      </c>
      <c r="D20" s="36">
        <v>24.74</v>
      </c>
      <c r="E20" s="33">
        <f t="shared" si="1"/>
        <v>24.74</v>
      </c>
      <c r="F20" s="32">
        <v>12</v>
      </c>
      <c r="G20" s="30">
        <f t="shared" si="0"/>
        <v>2.06</v>
      </c>
    </row>
    <row r="21" spans="2:9" ht="108" customHeight="1" x14ac:dyDescent="0.2">
      <c r="B21" s="81" t="s">
        <v>140</v>
      </c>
      <c r="C21" s="32">
        <v>1</v>
      </c>
      <c r="D21" s="36">
        <v>26.38</v>
      </c>
      <c r="E21" s="33">
        <f t="shared" si="1"/>
        <v>26.38</v>
      </c>
      <c r="F21" s="32">
        <v>12</v>
      </c>
      <c r="G21" s="30">
        <f t="shared" si="0"/>
        <v>2.2000000000000002</v>
      </c>
    </row>
    <row r="22" spans="2:9" ht="120.75" customHeight="1" x14ac:dyDescent="0.2">
      <c r="B22" s="81" t="s">
        <v>141</v>
      </c>
      <c r="C22" s="32">
        <v>7</v>
      </c>
      <c r="D22" s="36">
        <v>25</v>
      </c>
      <c r="E22" s="33">
        <f t="shared" si="1"/>
        <v>175</v>
      </c>
      <c r="F22" s="32">
        <v>12</v>
      </c>
      <c r="G22" s="30">
        <f t="shared" si="0"/>
        <v>14.58</v>
      </c>
    </row>
    <row r="23" spans="2:9" ht="120.75" customHeight="1" x14ac:dyDescent="0.2">
      <c r="B23" s="81" t="s">
        <v>142</v>
      </c>
      <c r="C23" s="32">
        <v>1</v>
      </c>
      <c r="D23" s="36">
        <v>69.23</v>
      </c>
      <c r="E23" s="33">
        <f t="shared" si="1"/>
        <v>69.23</v>
      </c>
      <c r="F23" s="32">
        <v>12</v>
      </c>
      <c r="G23" s="30">
        <f t="shared" si="0"/>
        <v>5.77</v>
      </c>
    </row>
    <row r="24" spans="2:9" ht="49.5" customHeight="1" x14ac:dyDescent="0.2">
      <c r="B24" s="81" t="s">
        <v>172</v>
      </c>
      <c r="C24" s="32">
        <v>1</v>
      </c>
      <c r="D24" s="36">
        <v>1500</v>
      </c>
      <c r="E24" s="33">
        <f t="shared" si="1"/>
        <v>1500</v>
      </c>
      <c r="F24" s="32">
        <v>12</v>
      </c>
      <c r="G24" s="30">
        <f t="shared" si="0"/>
        <v>125</v>
      </c>
    </row>
    <row r="25" spans="2:9" ht="45" customHeight="1" x14ac:dyDescent="0.2">
      <c r="B25" s="81" t="s">
        <v>173</v>
      </c>
      <c r="C25" s="32">
        <v>1</v>
      </c>
      <c r="D25" s="36">
        <v>1104</v>
      </c>
      <c r="E25" s="33">
        <f t="shared" si="1"/>
        <v>1104</v>
      </c>
      <c r="F25" s="32">
        <v>12</v>
      </c>
      <c r="G25" s="30">
        <f t="shared" si="0"/>
        <v>92</v>
      </c>
    </row>
    <row r="26" spans="2:9" ht="25.5" customHeight="1" x14ac:dyDescent="0.2">
      <c r="B26" s="189" t="s">
        <v>97</v>
      </c>
      <c r="C26" s="189"/>
      <c r="D26" s="189"/>
      <c r="E26" s="189"/>
      <c r="F26" s="189"/>
      <c r="G26" s="24">
        <f>SUM(G3:G25)</f>
        <v>591.98</v>
      </c>
    </row>
    <row r="27" spans="2:9" x14ac:dyDescent="0.2">
      <c r="D27" s="189" t="s">
        <v>89</v>
      </c>
      <c r="E27" s="189"/>
      <c r="F27" s="31">
        <f>'Vigilante noturno 12x36'!K74</f>
        <v>3.3860000000000001E-3</v>
      </c>
      <c r="G27" s="24">
        <f>F27*$G$26</f>
        <v>2.00444428</v>
      </c>
    </row>
    <row r="28" spans="2:9" x14ac:dyDescent="0.2">
      <c r="D28" s="189" t="s">
        <v>90</v>
      </c>
      <c r="E28" s="189"/>
      <c r="F28" s="31">
        <f>'Vigilante noturno 12x36'!K75</f>
        <v>2.5000000000000001E-3</v>
      </c>
      <c r="G28" s="24">
        <f>F28*$G$26</f>
        <v>1.4799500000000001</v>
      </c>
    </row>
    <row r="29" spans="2:9" ht="12.75" customHeight="1" x14ac:dyDescent="0.2">
      <c r="B29" s="190" t="s">
        <v>95</v>
      </c>
      <c r="C29" s="190"/>
      <c r="D29" s="190"/>
      <c r="E29" s="190"/>
      <c r="F29" s="190"/>
      <c r="G29" s="24">
        <f>SUM(G26:G28)</f>
        <v>595.46439428000008</v>
      </c>
    </row>
    <row r="30" spans="2:9" ht="12.75" customHeight="1" x14ac:dyDescent="0.2">
      <c r="B30" s="189" t="s">
        <v>143</v>
      </c>
      <c r="C30" s="189"/>
      <c r="D30" s="189"/>
      <c r="E30" s="189"/>
      <c r="F30" s="31">
        <f>'Vigilante noturno 12x36'!K77+'Vigilante noturno 12x36'!K79+'Vigilante noturno 12x36'!K78</f>
        <v>6.6500000000000004E-2</v>
      </c>
      <c r="G30" s="17">
        <f>((G29)*F30)/(100%-F30)</f>
        <v>42.419263224017151</v>
      </c>
    </row>
    <row r="31" spans="2:9" ht="29.25" customHeight="1" x14ac:dyDescent="0.2">
      <c r="B31" s="189" t="s">
        <v>94</v>
      </c>
      <c r="C31" s="189"/>
      <c r="D31" s="189"/>
      <c r="E31" s="189"/>
      <c r="F31" s="189"/>
      <c r="G31" s="24">
        <f>G30+G29</f>
        <v>637.88365750401726</v>
      </c>
      <c r="I31" s="15"/>
    </row>
    <row r="33" ht="12.75" customHeight="1" x14ac:dyDescent="0.2"/>
  </sheetData>
  <sortState xmlns:xlrd2="http://schemas.microsoft.com/office/spreadsheetml/2017/richdata2" ref="B3:C23">
    <sortCondition ref="B3:B23"/>
  </sortState>
  <mergeCells count="7">
    <mergeCell ref="B1:G1"/>
    <mergeCell ref="B31:F31"/>
    <mergeCell ref="B26:F26"/>
    <mergeCell ref="D27:E27"/>
    <mergeCell ref="D28:E28"/>
    <mergeCell ref="B29:F29"/>
    <mergeCell ref="B30:E30"/>
  </mergeCells>
  <pageMargins left="0.19685039370078741" right="0.19685039370078741" top="0.19685039370078741" bottom="0.19685039370078741" header="0.19685039370078741" footer="0.19685039370078741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G9"/>
  <sheetViews>
    <sheetView tabSelected="1" zoomScale="110" zoomScaleNormal="100" workbookViewId="0">
      <selection activeCell="G15" sqref="G15"/>
    </sheetView>
  </sheetViews>
  <sheetFormatPr defaultColWidth="12.5703125" defaultRowHeight="12.75" x14ac:dyDescent="0.2"/>
  <cols>
    <col min="1" max="1" width="5.140625" style="23" customWidth="1"/>
    <col min="2" max="2" width="47.7109375" style="23" customWidth="1"/>
    <col min="3" max="3" width="14.7109375" style="25" customWidth="1"/>
    <col min="4" max="4" width="23" style="23" customWidth="1"/>
    <col min="5" max="5" width="16.7109375" style="23" customWidth="1"/>
    <col min="6" max="16384" width="12.5703125" style="23"/>
  </cols>
  <sheetData>
    <row r="2" spans="2:7" ht="15.75" x14ac:dyDescent="0.2">
      <c r="B2" s="191" t="s">
        <v>148</v>
      </c>
      <c r="C2" s="191"/>
      <c r="D2" s="191"/>
      <c r="E2" s="191"/>
    </row>
    <row r="3" spans="2:7" ht="25.5" x14ac:dyDescent="0.2">
      <c r="B3" s="38" t="s">
        <v>98</v>
      </c>
      <c r="C3" s="38" t="s">
        <v>99</v>
      </c>
      <c r="D3" s="38" t="s">
        <v>149</v>
      </c>
      <c r="E3" s="38" t="s">
        <v>150</v>
      </c>
    </row>
    <row r="4" spans="2:7" x14ac:dyDescent="0.2">
      <c r="B4" s="27" t="s">
        <v>105</v>
      </c>
      <c r="C4" s="26">
        <v>1</v>
      </c>
      <c r="D4" s="28">
        <f>'Vigilante diurno 5x2'!L88</f>
        <v>6968.82</v>
      </c>
      <c r="E4" s="28">
        <f>D4*C4</f>
        <v>6968.82</v>
      </c>
    </row>
    <row r="5" spans="2:7" x14ac:dyDescent="0.2">
      <c r="B5" s="27" t="s">
        <v>113</v>
      </c>
      <c r="C5" s="26">
        <v>2</v>
      </c>
      <c r="D5" s="28">
        <f>'Vigilante diurno 12x36'!L90</f>
        <v>6805.68</v>
      </c>
      <c r="E5" s="28">
        <f>D5*C5</f>
        <v>13611.36</v>
      </c>
    </row>
    <row r="6" spans="2:7" x14ac:dyDescent="0.2">
      <c r="B6" s="27" t="s">
        <v>114</v>
      </c>
      <c r="C6" s="26">
        <v>2</v>
      </c>
      <c r="D6" s="28">
        <f>'Vigilante noturno 12x36'!L91</f>
        <v>7340.97</v>
      </c>
      <c r="E6" s="28">
        <f>D6*C6</f>
        <v>14681.94</v>
      </c>
    </row>
    <row r="7" spans="2:7" x14ac:dyDescent="0.2">
      <c r="B7" s="192" t="s">
        <v>144</v>
      </c>
      <c r="C7" s="192"/>
      <c r="D7" s="192"/>
      <c r="E7" s="28">
        <f>'Materiais e equipamentos'!G31</f>
        <v>637.88365750401726</v>
      </c>
    </row>
    <row r="8" spans="2:7" x14ac:dyDescent="0.2">
      <c r="B8" s="192" t="s">
        <v>100</v>
      </c>
      <c r="C8" s="192"/>
      <c r="D8" s="192"/>
      <c r="E8" s="28">
        <f>SUM(E4:E7)</f>
        <v>35900.003657504021</v>
      </c>
      <c r="F8" s="91"/>
      <c r="G8" s="91"/>
    </row>
    <row r="9" spans="2:7" x14ac:dyDescent="0.2">
      <c r="B9" s="192" t="s">
        <v>174</v>
      </c>
      <c r="C9" s="192"/>
      <c r="D9" s="192"/>
      <c r="E9" s="28">
        <f xml:space="preserve"> 35900* 12</f>
        <v>430800</v>
      </c>
    </row>
  </sheetData>
  <mergeCells count="4">
    <mergeCell ref="B2:E2"/>
    <mergeCell ref="B7:D7"/>
    <mergeCell ref="B8:D8"/>
    <mergeCell ref="B9:D9"/>
  </mergeCells>
  <pageMargins left="0.19685039370078741" right="0.19685039370078741" top="0.19685039370078741" bottom="0.19685039370078741" header="0.19685039370078741" footer="0.19685039370078741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despesas administrativas</vt:lpstr>
      <vt:lpstr>Vigilante diurno 5x2</vt:lpstr>
      <vt:lpstr>Vigilante diurno 12x36</vt:lpstr>
      <vt:lpstr>Vigilante noturno 12x36</vt:lpstr>
      <vt:lpstr>Materiais e equipamentos</vt:lpstr>
      <vt:lpstr>Valor final da proposta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everaldo albano</cp:lastModifiedBy>
  <cp:lastPrinted>2025-04-11T13:46:54Z</cp:lastPrinted>
  <dcterms:created xsi:type="dcterms:W3CDTF">2010-12-08T17:56:29Z</dcterms:created>
  <dcterms:modified xsi:type="dcterms:W3CDTF">2025-06-25T13:09:52Z</dcterms:modified>
</cp:coreProperties>
</file>